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AAE964D4-068B-43DE-B4EA-2788D6E3F9B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J 24" sheetId="1" r:id="rId1"/>
    <sheet name="FERJ 24" sheetId="2" r:id="rId2"/>
    <sheet name="FESMAM 24" sheetId="3" r:id="rId3"/>
    <sheet name="FERC 24" sheetId="4" r:id="rId4"/>
    <sheet name="FUNSEG 24" sheetId="5" r:id="rId5"/>
  </sheets>
  <definedNames>
    <definedName name="_xlnm.Print_Area" localSheetId="3">'FERC 24'!$B$1:$O$13</definedName>
    <definedName name="_xlnm.Print_Area" localSheetId="1">'FERJ 24'!$B$1:$O$19</definedName>
    <definedName name="_xlnm.Print_Area" localSheetId="2">'FESMAM 24'!$B$1:$O$13</definedName>
    <definedName name="_xlnm.Print_Area" localSheetId="4">'FUNSEG 24'!$B$1:$O$12</definedName>
    <definedName name="_xlnm.Print_Area" localSheetId="0">'TJ 24'!$B$1:$O$15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8" i="2"/>
  <c r="J18" i="2"/>
  <c r="K18" i="2"/>
  <c r="L18" i="2"/>
  <c r="M18" i="2"/>
  <c r="N18" i="2"/>
  <c r="C18" i="2"/>
  <c r="O18" i="2" s="1"/>
  <c r="O6" i="1" l="1"/>
  <c r="P10" i="4"/>
  <c r="P13" i="4" s="1"/>
  <c r="M12" i="1" l="1"/>
  <c r="N12" i="1" s="1"/>
  <c r="N11" i="1" s="1"/>
  <c r="M11" i="1"/>
  <c r="M12" i="5" l="1"/>
  <c r="O11" i="5"/>
  <c r="C16" i="5"/>
  <c r="C15" i="5"/>
  <c r="N12" i="5"/>
  <c r="L12" i="5"/>
  <c r="K12" i="5"/>
  <c r="J12" i="5"/>
  <c r="I12" i="5"/>
  <c r="H12" i="5"/>
  <c r="G12" i="5"/>
  <c r="F12" i="5"/>
  <c r="E12" i="5"/>
  <c r="D12" i="5"/>
  <c r="C12" i="5"/>
  <c r="N6" i="5"/>
  <c r="M6" i="5"/>
  <c r="L6" i="5"/>
  <c r="K6" i="5"/>
  <c r="J6" i="5"/>
  <c r="I6" i="5"/>
  <c r="H6" i="5"/>
  <c r="G6" i="5"/>
  <c r="F6" i="5"/>
  <c r="E6" i="5"/>
  <c r="D6" i="5"/>
  <c r="C6" i="5"/>
  <c r="C17" i="4"/>
  <c r="C16" i="4"/>
  <c r="O12" i="4"/>
  <c r="O11" i="4"/>
  <c r="N10" i="4"/>
  <c r="N13" i="4" s="1"/>
  <c r="M10" i="4"/>
  <c r="M13" i="4" s="1"/>
  <c r="L10" i="4"/>
  <c r="L13" i="4" s="1"/>
  <c r="K10" i="4"/>
  <c r="K13" i="4" s="1"/>
  <c r="J10" i="4"/>
  <c r="J13" i="4" s="1"/>
  <c r="I10" i="4"/>
  <c r="I13" i="4" s="1"/>
  <c r="H10" i="4"/>
  <c r="H13" i="4" s="1"/>
  <c r="G10" i="4"/>
  <c r="G13" i="4" s="1"/>
  <c r="F10" i="4"/>
  <c r="F13" i="4" s="1"/>
  <c r="E10" i="4"/>
  <c r="E13" i="4" s="1"/>
  <c r="D10" i="4"/>
  <c r="D13" i="4" s="1"/>
  <c r="C10" i="4"/>
  <c r="C13" i="4" s="1"/>
  <c r="N6" i="4"/>
  <c r="M6" i="4"/>
  <c r="L6" i="4"/>
  <c r="K6" i="4"/>
  <c r="J6" i="4"/>
  <c r="I6" i="4"/>
  <c r="H6" i="4"/>
  <c r="G6" i="4"/>
  <c r="F6" i="4"/>
  <c r="E6" i="4"/>
  <c r="D6" i="4"/>
  <c r="C6" i="4"/>
  <c r="O12" i="3"/>
  <c r="O11" i="3"/>
  <c r="N10" i="3"/>
  <c r="N13" i="3" s="1"/>
  <c r="M10" i="3"/>
  <c r="M13" i="3" s="1"/>
  <c r="L10" i="3"/>
  <c r="L13" i="3" s="1"/>
  <c r="K10" i="3"/>
  <c r="K13" i="3" s="1"/>
  <c r="J10" i="3"/>
  <c r="J13" i="3" s="1"/>
  <c r="I10" i="3"/>
  <c r="I13" i="3" s="1"/>
  <c r="H10" i="3"/>
  <c r="H13" i="3" s="1"/>
  <c r="G10" i="3"/>
  <c r="G13" i="3" s="1"/>
  <c r="F10" i="3"/>
  <c r="F13" i="3" s="1"/>
  <c r="E10" i="3"/>
  <c r="E13" i="3" s="1"/>
  <c r="D10" i="3"/>
  <c r="D13" i="3" s="1"/>
  <c r="C10" i="3"/>
  <c r="N6" i="3"/>
  <c r="M6" i="3"/>
  <c r="L6" i="3"/>
  <c r="K6" i="3"/>
  <c r="J6" i="3"/>
  <c r="I6" i="3"/>
  <c r="H6" i="3"/>
  <c r="G6" i="3"/>
  <c r="F6" i="3"/>
  <c r="E6" i="3"/>
  <c r="D6" i="3"/>
  <c r="C6" i="3"/>
  <c r="C26" i="2"/>
  <c r="C23" i="2"/>
  <c r="O17" i="2"/>
  <c r="O16" i="2"/>
  <c r="O15" i="2"/>
  <c r="O14" i="2"/>
  <c r="O13" i="2"/>
  <c r="O12" i="2"/>
  <c r="O11" i="2"/>
  <c r="N10" i="2"/>
  <c r="N19" i="2" s="1"/>
  <c r="M10" i="2"/>
  <c r="M19" i="2" s="1"/>
  <c r="L10" i="2"/>
  <c r="L19" i="2" s="1"/>
  <c r="K10" i="2"/>
  <c r="K19" i="2" s="1"/>
  <c r="J10" i="2"/>
  <c r="J19" i="2" s="1"/>
  <c r="I10" i="2"/>
  <c r="I19" i="2" s="1"/>
  <c r="H10" i="2"/>
  <c r="H19" i="2" s="1"/>
  <c r="G10" i="2"/>
  <c r="G19" i="2" s="1"/>
  <c r="F10" i="2"/>
  <c r="F19" i="2" s="1"/>
  <c r="E10" i="2"/>
  <c r="E19" i="2" s="1"/>
  <c r="D10" i="2"/>
  <c r="D19" i="2" s="1"/>
  <c r="C10" i="2"/>
  <c r="C19" i="2" s="1"/>
  <c r="N6" i="2"/>
  <c r="M6" i="2"/>
  <c r="L6" i="2"/>
  <c r="K6" i="2"/>
  <c r="J6" i="2"/>
  <c r="I6" i="2"/>
  <c r="H6" i="2"/>
  <c r="G6" i="2"/>
  <c r="F6" i="2"/>
  <c r="E6" i="2"/>
  <c r="D6" i="2"/>
  <c r="C6" i="2"/>
  <c r="D21" i="1"/>
  <c r="C21" i="1"/>
  <c r="F20" i="1"/>
  <c r="E20" i="1"/>
  <c r="O14" i="1"/>
  <c r="K13" i="1"/>
  <c r="J13" i="1"/>
  <c r="H13" i="1"/>
  <c r="G13" i="1"/>
  <c r="F13" i="1"/>
  <c r="E13" i="1"/>
  <c r="E24" i="2" s="1"/>
  <c r="D13" i="1"/>
  <c r="C13" i="1"/>
  <c r="Q12" i="1"/>
  <c r="O12" i="1"/>
  <c r="Q11" i="1"/>
  <c r="L11" i="1"/>
  <c r="L10" i="1" s="1"/>
  <c r="L15" i="1" s="1"/>
  <c r="K11" i="1"/>
  <c r="K10" i="1" s="1"/>
  <c r="K15" i="1" s="1"/>
  <c r="J11" i="1"/>
  <c r="J10" i="1" s="1"/>
  <c r="J15" i="1" s="1"/>
  <c r="I11" i="1"/>
  <c r="I10" i="1" s="1"/>
  <c r="I15" i="1" s="1"/>
  <c r="H11" i="1"/>
  <c r="G11" i="1"/>
  <c r="F11" i="1"/>
  <c r="E11" i="1"/>
  <c r="E10" i="1" s="1"/>
  <c r="E15" i="1" s="1"/>
  <c r="D11" i="1"/>
  <c r="C11" i="1"/>
  <c r="N10" i="1"/>
  <c r="N15" i="1" s="1"/>
  <c r="M10" i="1"/>
  <c r="M15" i="1" s="1"/>
  <c r="N6" i="1"/>
  <c r="M6" i="1"/>
  <c r="L6" i="1"/>
  <c r="K6" i="1"/>
  <c r="J6" i="1"/>
  <c r="I6" i="1"/>
  <c r="H6" i="1"/>
  <c r="G6" i="1"/>
  <c r="F6" i="1"/>
  <c r="E6" i="1"/>
  <c r="D6" i="1"/>
  <c r="C6" i="1"/>
  <c r="D10" i="1" l="1"/>
  <c r="D15" i="1" s="1"/>
  <c r="H10" i="1"/>
  <c r="H15" i="1" s="1"/>
  <c r="C10" i="1"/>
  <c r="G10" i="1"/>
  <c r="G15" i="1" s="1"/>
  <c r="O13" i="1"/>
  <c r="O18" i="1" s="1"/>
  <c r="O10" i="4"/>
  <c r="O13" i="4" s="1"/>
  <c r="O10" i="5"/>
  <c r="O12" i="5" s="1"/>
  <c r="O10" i="3"/>
  <c r="O13" i="3" s="1"/>
  <c r="O10" i="2"/>
  <c r="O19" i="2" s="1"/>
  <c r="C13" i="3"/>
  <c r="F10" i="1"/>
  <c r="F15" i="1" s="1"/>
  <c r="O11" i="1"/>
  <c r="C15" i="1" l="1"/>
  <c r="O10" i="1"/>
  <c r="O15" i="1" s="1"/>
</calcChain>
</file>

<file path=xl/sharedStrings.xml><?xml version="1.0" encoding="utf-8"?>
<sst xmlns="http://schemas.openxmlformats.org/spreadsheetml/2006/main" count="198" uniqueCount="41">
  <si>
    <t>Exercício: 2024</t>
  </si>
  <si>
    <t>UG: 040101 - TRIBUNAL DE JUSTIÇA DO MARANHÃO</t>
  </si>
  <si>
    <t>Receita Orçamentária Prevista</t>
  </si>
  <si>
    <t>Receitas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</si>
  <si>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</si>
  <si>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</si>
  <si>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</si>
  <si>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</si>
  <si>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</si>
  <si>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</si>
  <si>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</si>
  <si>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</si>
  <si>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</si>
  <si>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</si>
  <si>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</si>
  <si>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</si>
  <si>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</si>
  <si>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Orçamento Inicial</t>
  </si>
  <si>
    <t>Receita Arrecadada</t>
  </si>
  <si>
    <t>Repasses Recebidos</t>
  </si>
  <si>
    <t>Custeio/Investimentos</t>
  </si>
  <si>
    <t>Pessoal</t>
  </si>
  <si>
    <t>Precatórios</t>
  </si>
  <si>
    <t>Aplicação Financeira</t>
  </si>
  <si>
    <t xml:space="preserve">  Total </t>
  </si>
  <si>
    <t>UG: 040901 - FUNDO ESPECIAL DE MODERNIZAÇÃO E REAPARELHAMENTO DO JUDICIÁRIO</t>
  </si>
  <si>
    <t>Receitas Próprias</t>
  </si>
  <si>
    <t>Custas Judiciais</t>
  </si>
  <si>
    <t>Custas Extrajudiciais</t>
  </si>
  <si>
    <t>Xérox</t>
  </si>
  <si>
    <t>Receita de Vale Transporte</t>
  </si>
  <si>
    <t>Exp. Econômia da Folha</t>
  </si>
  <si>
    <t>Leilão/Outras</t>
  </si>
  <si>
    <t>UG: 040902 - FUNDO ESPECIAL DA ESCOLA SUPERIOR DA MAGISTRATURA DO ESTADO DO MARANHÃO</t>
  </si>
  <si>
    <t>Custeio</t>
  </si>
  <si>
    <t>UG: 040903 - FUNDO ESPECIAL DAS SERVENTIAS DE REGISTRO CIVIL DE PESSOAS NATURAIS</t>
  </si>
  <si>
    <t>Emolumentos Extrajudiciais</t>
  </si>
  <si>
    <t>UG: 040904 - FUNDO ESPECIAL DE SEGURANÇA DA MAGISTRATURA DO ESTADO DO MARANHÃO</t>
  </si>
  <si>
    <t>Empenho</t>
  </si>
  <si>
    <t>Dedução-Receita do Funseg(3%)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</si>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</sst>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.00_-;\-* #,##0.00_-;_-* \-??_-;_-@_-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Segoe UI"/>
      <family val="2"/>
      <charset val="1"/>
    </font>
    <font>
      <b/>
      <sz val="11"/>
      <color rgb="FF000000"/>
      <name val="Segoe UI"/>
      <family val="2"/>
      <charset val="1"/>
    </font>
    <font>
      <b/>
      <sz val="11"/>
      <color rgb="FFFFFFFF"/>
      <name val="Segoe UI"/>
      <family val="2"/>
      <charset val="1"/>
    </font>
    <font>
      <sz val="10"/>
      <color rgb="FF000000"/>
      <name val="Segoe UI"/>
      <family val="2"/>
      <charset val="1"/>
    </font>
    <font>
      <i/>
      <sz val="10"/>
      <color rgb="FF000000"/>
      <name val="Segoe UI"/>
      <family val="2"/>
      <charset val="1"/>
    </font>
    <font>
      <sz val="10"/>
      <color rgb="FFFFFFFF"/>
      <name val="Segoe UI"/>
      <family val="2"/>
      <charset val="1"/>
    </font>
    <font>
      <sz val="11"/>
      <color rgb="FFFFFFFF"/>
      <name val="Segoe UI"/>
      <family val="2"/>
      <charset val="1"/>
    </font>
    <font>
      <sz val="11"/>
      <name val="Segoe UI"/>
      <family val="2"/>
      <charset val="1"/>
    </font>
    <font>
      <sz val="11"/>
      <color rgb="FFFF0000"/>
      <name val="Segoe U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Arial"/>
      <family val="2"/>
      <charset val="1"/>
    </font>
    <font>
      <sz val="11"/>
      <color rgb="FF000000"/>
      <name val="Segoe UI"/>
      <family val="2"/>
    </font>
    <font>
      <sz val="11"/>
      <color rgb="FF000000"/>
      <name val="Calibri"/>
      <family val="2"/>
      <charset val="1"/>
    </font>
    <font>
      <sz val="11"/>
      <color theme="1"/>
      <name val="Segoe UI"/>
      <family val="2"/>
      <charset val="1"/>
    </font>
    <font>
      <sz val="11"/>
      <color theme="1"/>
      <name val="Segoe UI"/>
      <family val="2"/>
    </font>
    <font>
      <b/>
      <sz val="11"/>
      <color rgb="FF000000"/>
      <name val="Calibri"/>
      <family val="2"/>
      <charset val="1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 style="thin">
        <color rgb="FF70AD47"/>
      </left>
      <right/>
      <top style="thin">
        <color rgb="FF70AD47"/>
      </top>
      <bottom style="thin">
        <color rgb="FF70AD47"/>
      </bottom>
      <diagonal/>
    </border>
    <border>
      <left/>
      <right/>
      <top style="thin">
        <color rgb="FF70AD47"/>
      </top>
      <bottom style="thin">
        <color rgb="FF70AD47"/>
      </bottom>
      <diagonal/>
    </border>
    <border>
      <left/>
      <right style="thin">
        <color rgb="FF70AD47"/>
      </right>
      <top style="thin">
        <color rgb="FF70AD47"/>
      </top>
      <bottom style="thin">
        <color rgb="FF70AD47"/>
      </bottom>
      <diagonal/>
    </border>
  </borders>
  <cellStyleXfs count="5">
    <xf numFmtId="0" fontId="0" fillId="0" borderId="0"/>
    <xf numFmtId="165" fontId="14" fillId="0" borderId="0" applyBorder="0" applyProtection="0"/>
    <xf numFmtId="9" fontId="14" fillId="0" borderId="0" applyBorder="0" applyProtection="0"/>
    <xf numFmtId="0" fontId="1" fillId="0" borderId="0"/>
    <xf numFmtId="164" fontId="14" fillId="0" borderId="0" applyBorder="0" applyProtection="0"/>
  </cellStyleXfs>
  <cellXfs count="34">
    <xf numFmtId="0" fontId="0" fillId="0" borderId="0" xfId="0"/>
    <xf numFmtId="165" fontId="2" fillId="0" borderId="0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165" fontId="4" fillId="2" borderId="1" xfId="1" applyFont="1" applyFill="1" applyBorder="1" applyAlignment="1" applyProtection="1">
      <alignment horizontal="center" vertical="center"/>
    </xf>
    <xf numFmtId="165" fontId="4" fillId="2" borderId="2" xfId="1" applyFont="1" applyFill="1" applyBorder="1" applyAlignment="1" applyProtection="1">
      <alignment horizontal="center" vertical="center"/>
    </xf>
    <xf numFmtId="165" fontId="4" fillId="2" borderId="3" xfId="1" applyFont="1" applyFill="1" applyBorder="1" applyAlignment="1" applyProtection="1">
      <alignment horizontal="center" vertical="center"/>
    </xf>
    <xf numFmtId="165" fontId="2" fillId="0" borderId="4" xfId="1" applyFont="1" applyBorder="1" applyAlignment="1" applyProtection="1">
      <alignment vertical="center"/>
    </xf>
    <xf numFmtId="165" fontId="2" fillId="0" borderId="5" xfId="1" applyFont="1" applyBorder="1" applyAlignment="1" applyProtection="1">
      <alignment vertical="center"/>
    </xf>
    <xf numFmtId="165" fontId="3" fillId="0" borderId="6" xfId="1" applyFont="1" applyBorder="1" applyAlignment="1" applyProtection="1">
      <alignment vertical="center"/>
    </xf>
    <xf numFmtId="165" fontId="2" fillId="0" borderId="0" xfId="1" applyFont="1" applyBorder="1" applyAlignment="1" applyProtection="1">
      <alignment horizontal="center" vertical="center"/>
    </xf>
    <xf numFmtId="165" fontId="5" fillId="0" borderId="0" xfId="1" applyFont="1" applyBorder="1" applyAlignment="1" applyProtection="1">
      <alignment vertical="center"/>
    </xf>
    <xf numFmtId="165" fontId="6" fillId="0" borderId="0" xfId="1" applyFont="1" applyBorder="1" applyAlignment="1" applyProtection="1">
      <alignment horizontal="left" vertical="center" indent="1"/>
    </xf>
    <xf numFmtId="165" fontId="7" fillId="0" borderId="0" xfId="1" applyFont="1" applyBorder="1" applyAlignment="1" applyProtection="1">
      <alignment vertical="center"/>
    </xf>
    <xf numFmtId="165" fontId="5" fillId="3" borderId="0" xfId="1" applyFont="1" applyFill="1" applyBorder="1" applyAlignment="1" applyProtection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8" fillId="0" borderId="0" xfId="1" applyNumberFormat="1" applyFont="1" applyBorder="1" applyAlignment="1" applyProtection="1">
      <alignment vertical="center"/>
    </xf>
    <xf numFmtId="165" fontId="8" fillId="0" borderId="0" xfId="1" applyFont="1" applyBorder="1" applyAlignment="1" applyProtection="1">
      <alignment vertical="center"/>
    </xf>
    <xf numFmtId="165" fontId="9" fillId="0" borderId="0" xfId="1" applyFont="1" applyBorder="1" applyAlignment="1" applyProtection="1">
      <alignment vertical="center"/>
    </xf>
    <xf numFmtId="165" fontId="10" fillId="0" borderId="0" xfId="1" applyFont="1" applyBorder="1" applyAlignment="1" applyProtection="1">
      <alignment vertical="center"/>
    </xf>
    <xf numFmtId="4" fontId="11" fillId="0" borderId="0" xfId="0" applyNumberFormat="1" applyFont="1"/>
    <xf numFmtId="165" fontId="2" fillId="0" borderId="0" xfId="1" applyFont="1" applyBorder="1" applyAlignment="1" applyProtection="1">
      <alignment vertical="center" wrapText="1"/>
    </xf>
    <xf numFmtId="9" fontId="2" fillId="0" borderId="0" xfId="2" applyFont="1" applyBorder="1" applyAlignment="1" applyProtection="1">
      <alignment vertical="center"/>
    </xf>
    <xf numFmtId="10" fontId="2" fillId="0" borderId="0" xfId="2" applyNumberFormat="1" applyFont="1" applyBorder="1" applyAlignment="1" applyProtection="1">
      <alignment vertical="center"/>
    </xf>
    <xf numFmtId="4" fontId="12" fillId="3" borderId="0" xfId="4" applyNumberFormat="1" applyFont="1" applyFill="1" applyBorder="1" applyAlignment="1" applyProtection="1">
      <alignment vertical="center"/>
    </xf>
    <xf numFmtId="165" fontId="8" fillId="3" borderId="0" xfId="1" applyFont="1" applyFill="1" applyBorder="1" applyAlignment="1" applyProtection="1">
      <alignment vertical="center"/>
    </xf>
    <xf numFmtId="165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5" fontId="15" fillId="0" borderId="0" xfId="1" applyFont="1" applyBorder="1" applyAlignment="1" applyProtection="1">
      <alignment vertical="center"/>
    </xf>
    <xf numFmtId="165" fontId="16" fillId="0" borderId="0" xfId="1" applyFont="1" applyBorder="1" applyAlignment="1" applyProtection="1">
      <alignment vertical="center"/>
    </xf>
    <xf numFmtId="165" fontId="14" fillId="0" borderId="0" xfId="1" applyBorder="1" applyProtection="1"/>
    <xf numFmtId="3" fontId="17" fillId="0" borderId="0" xfId="0" applyNumberFormat="1" applyFont="1"/>
    <xf numFmtId="165" fontId="18" fillId="0" borderId="0" xfId="1" applyFont="1" applyAlignment="1">
      <alignment vertical="center"/>
    </xf>
    <xf numFmtId="14" fontId="18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2">
    <dxf>
      <numFmt numFmtId="165" formatCode="_-* #,##0.00_-;\-* #,##0.00_-;_-* \-??_-;_-@_-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356789101112131417" displayName="Tabela356789101112131417" ref="B9:O14" totalsRowShown="0">
  <tableColumns count="14">
    <tableColumn id="1" xr3:uid="{00000000-0010-0000-0000-000001000000}" name="Receitas"/>
    <tableColumn id="2" xr3:uid="{00000000-0010-0000-0000-000002000000}" name="JAN"/>
    <tableColumn id="3" xr3:uid="{00000000-0010-0000-0000-000003000000}" name="FEV"/>
    <tableColumn id="4" xr3:uid="{00000000-0010-0000-0000-000004000000}" name="MAR"/>
    <tableColumn id="5" xr3:uid="{00000000-0010-0000-0000-000005000000}" name="ABR"/>
    <tableColumn id="6" xr3:uid="{00000000-0010-0000-0000-000006000000}" name="MAI"/>
    <tableColumn id="7" xr3:uid="{00000000-0010-0000-0000-000007000000}" name="JUN"/>
    <tableColumn id="8" xr3:uid="{00000000-0010-0000-0000-000008000000}" name="JUL"/>
    <tableColumn id="9" xr3:uid="{00000000-0010-0000-0000-000009000000}" name="AGO"/>
    <tableColumn id="10" xr3:uid="{00000000-0010-0000-0000-00000A000000}" name="SET"/>
    <tableColumn id="11" xr3:uid="{00000000-0010-0000-0000-00000B000000}" name="OUT"/>
    <tableColumn id="12" xr3:uid="{00000000-0010-0000-0000-00000C000000}" name="NOV"/>
    <tableColumn id="13" xr3:uid="{00000000-0010-0000-0000-00000D000000}" name="DEZ"/>
    <tableColumn id="14" xr3:uid="{00000000-0010-0000-0000-00000E000000}" name="TOT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19" displayName="Tabela319" ref="B9:O18" totalsRowShown="0">
  <tableColumns count="14">
    <tableColumn id="1" xr3:uid="{00000000-0010-0000-0100-000001000000}" name="Receitas"/>
    <tableColumn id="2" xr3:uid="{00000000-0010-0000-0100-000002000000}" name="JAN"/>
    <tableColumn id="3" xr3:uid="{00000000-0010-0000-0100-000003000000}" name="FEV"/>
    <tableColumn id="4" xr3:uid="{00000000-0010-0000-0100-000004000000}" name="MAR"/>
    <tableColumn id="5" xr3:uid="{00000000-0010-0000-0100-000005000000}" name="ABR"/>
    <tableColumn id="6" xr3:uid="{00000000-0010-0000-0100-000006000000}" name="MAI"/>
    <tableColumn id="7" xr3:uid="{00000000-0010-0000-0100-000007000000}" name="JUN"/>
    <tableColumn id="8" xr3:uid="{00000000-0010-0000-0100-000008000000}" name="JUL"/>
    <tableColumn id="9" xr3:uid="{00000000-0010-0000-0100-000009000000}" name="AGO"/>
    <tableColumn id="10" xr3:uid="{00000000-0010-0000-0100-00000A000000}" name="SET"/>
    <tableColumn id="11" xr3:uid="{00000000-0010-0000-0100-00000B000000}" name="OUT"/>
    <tableColumn id="12" xr3:uid="{00000000-0010-0000-0100-00000C000000}" name="NOV"/>
    <tableColumn id="13" xr3:uid="{00000000-0010-0000-0100-00000D000000}" name="DEZ"/>
    <tableColumn id="14" xr3:uid="{00000000-0010-0000-0100-00000E000000}" name="TOT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a356789101118" displayName="Tabela356789101118" ref="B9:O12" totalsRowShown="0">
  <tableColumns count="14">
    <tableColumn id="1" xr3:uid="{00000000-0010-0000-0200-000001000000}" name="Receitas"/>
    <tableColumn id="2" xr3:uid="{00000000-0010-0000-0200-000002000000}" name="JAN"/>
    <tableColumn id="3" xr3:uid="{00000000-0010-0000-0200-000003000000}" name="FEV"/>
    <tableColumn id="4" xr3:uid="{00000000-0010-0000-0200-000004000000}" name="MAR"/>
    <tableColumn id="5" xr3:uid="{00000000-0010-0000-0200-000005000000}" name="ABR"/>
    <tableColumn id="6" xr3:uid="{00000000-0010-0000-0200-000006000000}" name="MAI"/>
    <tableColumn id="7" xr3:uid="{00000000-0010-0000-0200-000007000000}" name="JUN"/>
    <tableColumn id="8" xr3:uid="{00000000-0010-0000-0200-000008000000}" name="JUL"/>
    <tableColumn id="9" xr3:uid="{00000000-0010-0000-0200-000009000000}" name="AGO"/>
    <tableColumn id="10" xr3:uid="{00000000-0010-0000-0200-00000A000000}" name="SET"/>
    <tableColumn id="11" xr3:uid="{00000000-0010-0000-0200-00000B000000}" name="OUT"/>
    <tableColumn id="12" xr3:uid="{00000000-0010-0000-0200-00000C000000}" name="NOV"/>
    <tableColumn id="13" xr3:uid="{00000000-0010-0000-0200-00000D000000}" name="DEZ"/>
    <tableColumn id="14" xr3:uid="{00000000-0010-0000-0200-00000E000000}" name="TOT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3520" displayName="Tabela3520" ref="B9:P12" totalsRowShown="0">
  <tableColumns count="15">
    <tableColumn id="1" xr3:uid="{00000000-0010-0000-0300-000001000000}" name="Receitas"/>
    <tableColumn id="2" xr3:uid="{00000000-0010-0000-0300-000002000000}" name="JAN"/>
    <tableColumn id="3" xr3:uid="{00000000-0010-0000-0300-000003000000}" name="FEV"/>
    <tableColumn id="4" xr3:uid="{00000000-0010-0000-0300-000004000000}" name="MAR"/>
    <tableColumn id="5" xr3:uid="{00000000-0010-0000-0300-000005000000}" name="ABR"/>
    <tableColumn id="6" xr3:uid="{00000000-0010-0000-0300-000006000000}" name="MAI"/>
    <tableColumn id="7" xr3:uid="{00000000-0010-0000-0300-000007000000}" name="JUN"/>
    <tableColumn id="8" xr3:uid="{00000000-0010-0000-0300-000008000000}" name="JUL"/>
    <tableColumn id="9" xr3:uid="{00000000-0010-0000-0300-000009000000}" name="AGO"/>
    <tableColumn id="10" xr3:uid="{00000000-0010-0000-0300-00000A000000}" name="SET"/>
    <tableColumn id="11" xr3:uid="{00000000-0010-0000-0300-00000B000000}" name="OUT"/>
    <tableColumn id="12" xr3:uid="{00000000-0010-0000-0300-00000C000000}" name="NOV"/>
    <tableColumn id="13" xr3:uid="{00000000-0010-0000-0300-00000D000000}" name="DEZ"/>
    <tableColumn id="14" xr3:uid="{00000000-0010-0000-0300-00000E000000}" name="TOTAL"/>
    <tableColumn id="15" xr3:uid="{955CFD6E-B2AB-485E-BDEA-42B3AA82AC32}" name="Empenh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3567821" displayName="Tabela3567821" ref="B9:O11" totalsRowShown="0" headerRowDxfId="1">
  <tableColumns count="14">
    <tableColumn id="1" xr3:uid="{00000000-0010-0000-0400-000001000000}" name="Receitas"/>
    <tableColumn id="2" xr3:uid="{00000000-0010-0000-0400-000002000000}" name="JAN"/>
    <tableColumn id="3" xr3:uid="{00000000-0010-0000-0400-000003000000}" name="FEV"/>
    <tableColumn id="4" xr3:uid="{00000000-0010-0000-0400-000004000000}" name="MAR"/>
    <tableColumn id="5" xr3:uid="{00000000-0010-0000-0400-000005000000}" name="ABR"/>
    <tableColumn id="6" xr3:uid="{00000000-0010-0000-0400-000006000000}" name="MAI"/>
    <tableColumn id="7" xr3:uid="{00000000-0010-0000-0400-000007000000}" name="JUN"/>
    <tableColumn id="8" xr3:uid="{00000000-0010-0000-0400-000008000000}" name="JUL"/>
    <tableColumn id="9" xr3:uid="{00000000-0010-0000-0400-000009000000}" name="AGO"/>
    <tableColumn id="10" xr3:uid="{00000000-0010-0000-0400-00000A000000}" name="SET"/>
    <tableColumn id="11" xr3:uid="{00000000-0010-0000-0400-00000B000000}" name="OUT"/>
    <tableColumn id="12" xr3:uid="{00000000-0010-0000-0400-00000C000000}" name="NOV" dataDxfId="0">
      <calculatedColumnFormula>Tabela3567821[[#This Row],[SET]]</calculatedColumnFormula>
    </tableColumn>
    <tableColumn id="13" xr3:uid="{00000000-0010-0000-0400-00000D000000}" name="DEZ"/>
    <tableColumn id="14" xr3:uid="{00000000-0010-0000-0400-00000E000000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showGridLines="0" tabSelected="1" zoomScale="78" zoomScaleNormal="78" workbookViewId="0">
      <selection activeCell="C2" sqref="C2"/>
    </sheetView>
  </sheetViews>
  <sheetFormatPr defaultRowHeight="16.5" x14ac:dyDescent="0.25"/>
  <cols>
    <col min="1" max="1" width="4.5703125" style="1" customWidth="1"/>
    <col min="2" max="2" width="27.5703125" style="1" customWidth="1"/>
    <col min="3" max="14" width="18.28515625" style="1" bestFit="1" customWidth="1"/>
    <col min="15" max="15" width="21" style="1" bestFit="1" customWidth="1"/>
    <col min="16" max="16" width="9.140625" style="1" customWidth="1"/>
    <col min="17" max="17" width="13.85546875" style="1" customWidth="1"/>
    <col min="18" max="1025" width="9.140625" style="1" customWidth="1"/>
  </cols>
  <sheetData>
    <row r="1" spans="2:17" x14ac:dyDescent="0.25">
      <c r="B1" s="32" t="s">
        <v>40</v>
      </c>
      <c r="C1" s="33">
        <v>45664</v>
      </c>
    </row>
    <row r="2" spans="2:17" ht="23.1" customHeight="1" x14ac:dyDescent="0.25">
      <c r="B2" s="2" t="s">
        <v>0</v>
      </c>
    </row>
    <row r="3" spans="2:17" ht="23.1" customHeight="1" x14ac:dyDescent="0.25">
      <c r="B3" s="2" t="s">
        <v>1</v>
      </c>
    </row>
    <row r="4" spans="2:17" ht="23.1" customHeight="1" x14ac:dyDescent="0.25">
      <c r="B4" s="2" t="s">
        <v>2</v>
      </c>
    </row>
    <row r="5" spans="2:17" ht="23.1" customHeight="1" x14ac:dyDescent="0.25"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</row>
    <row r="6" spans="2:17" ht="23.1" customHeight="1" x14ac:dyDescent="0.25">
      <c r="B6" s="6" t="s">
        <v>17</v>
      </c>
      <c r="C6" s="7">
        <f t="shared" ref="C6:N6" si="0">$O$6/12</f>
        <v>155972583.33333334</v>
      </c>
      <c r="D6" s="7">
        <f t="shared" si="0"/>
        <v>155972583.33333334</v>
      </c>
      <c r="E6" s="7">
        <f t="shared" si="0"/>
        <v>155972583.33333334</v>
      </c>
      <c r="F6" s="7">
        <f t="shared" si="0"/>
        <v>155972583.33333334</v>
      </c>
      <c r="G6" s="7">
        <f t="shared" si="0"/>
        <v>155972583.33333334</v>
      </c>
      <c r="H6" s="7">
        <f t="shared" si="0"/>
        <v>155972583.33333334</v>
      </c>
      <c r="I6" s="7">
        <f t="shared" si="0"/>
        <v>155972583.33333334</v>
      </c>
      <c r="J6" s="7">
        <f t="shared" si="0"/>
        <v>155972583.33333334</v>
      </c>
      <c r="K6" s="7">
        <f t="shared" si="0"/>
        <v>155972583.33333334</v>
      </c>
      <c r="L6" s="7">
        <f t="shared" si="0"/>
        <v>155972583.33333334</v>
      </c>
      <c r="M6" s="7">
        <f t="shared" si="0"/>
        <v>155972583.33333334</v>
      </c>
      <c r="N6" s="7">
        <f t="shared" si="0"/>
        <v>155972583.33333334</v>
      </c>
      <c r="O6" s="8">
        <f>2089372000-217701000</f>
        <v>1871671000</v>
      </c>
    </row>
    <row r="8" spans="2:17" ht="23.1" customHeight="1" x14ac:dyDescent="0.25">
      <c r="B8" s="2" t="s">
        <v>18</v>
      </c>
    </row>
    <row r="9" spans="2:17" s="9" customFormat="1" ht="18" customHeight="1" x14ac:dyDescent="0.25"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</row>
    <row r="10" spans="2:17" ht="18" customHeight="1" x14ac:dyDescent="0.25">
      <c r="B10" s="1" t="s">
        <v>19</v>
      </c>
      <c r="C10" s="1">
        <f t="shared" ref="C10:N10" si="1">SUM(C11:C13)</f>
        <v>171644127.47</v>
      </c>
      <c r="D10" s="1">
        <f t="shared" si="1"/>
        <v>177850250.66</v>
      </c>
      <c r="E10" s="1">
        <f t="shared" si="1"/>
        <v>173381046.67000002</v>
      </c>
      <c r="F10" s="1">
        <f t="shared" si="1"/>
        <v>172828197.09999999</v>
      </c>
      <c r="G10" s="1">
        <f t="shared" si="1"/>
        <v>163940274.36000001</v>
      </c>
      <c r="H10" s="1">
        <f t="shared" si="1"/>
        <v>195673268.73000002</v>
      </c>
      <c r="I10" s="1">
        <f t="shared" si="1"/>
        <v>159297795.36000001</v>
      </c>
      <c r="J10" s="1">
        <f t="shared" si="1"/>
        <v>156091703.62</v>
      </c>
      <c r="K10" s="1">
        <f t="shared" si="1"/>
        <v>152410578.06999999</v>
      </c>
      <c r="L10" s="1">
        <f t="shared" si="1"/>
        <v>153957195.69</v>
      </c>
      <c r="M10" s="1">
        <f t="shared" si="1"/>
        <v>152396952.50999999</v>
      </c>
      <c r="N10" s="1">
        <f t="shared" si="1"/>
        <v>153774654.68000001</v>
      </c>
      <c r="O10" s="1">
        <f>SUM(C10:N10)</f>
        <v>1983246044.9199998</v>
      </c>
    </row>
    <row r="11" spans="2:17" s="10" customFormat="1" ht="18" customHeight="1" x14ac:dyDescent="0.25">
      <c r="B11" s="11" t="s">
        <v>20</v>
      </c>
      <c r="C11" s="10">
        <f>9032885.81+11299114.19</f>
        <v>20332000</v>
      </c>
      <c r="D11" s="10">
        <f>9517000+10815000</f>
        <v>20332000</v>
      </c>
      <c r="E11" s="10">
        <f>9517000+10815000</f>
        <v>20332000</v>
      </c>
      <c r="F11" s="10">
        <f>9967000+10365000</f>
        <v>20332000</v>
      </c>
      <c r="G11" s="10">
        <f>9967000+10365000</f>
        <v>20332000</v>
      </c>
      <c r="H11" s="10">
        <f>9967000+10365000</f>
        <v>20332000</v>
      </c>
      <c r="I11" s="10">
        <f>9967000+10365000</f>
        <v>20332000</v>
      </c>
      <c r="J11" s="10">
        <f>9891000+10441000</f>
        <v>20332000</v>
      </c>
      <c r="K11" s="10">
        <f>9891000+10441000</f>
        <v>20332000</v>
      </c>
      <c r="L11" s="10">
        <f>9891000+10441000</f>
        <v>20332000</v>
      </c>
      <c r="M11" s="10">
        <f>9890999.98+10441000</f>
        <v>20331999.98</v>
      </c>
      <c r="N11" s="10">
        <f>10441000+121699666.65-N12</f>
        <v>20331999.980000004</v>
      </c>
      <c r="O11" s="10">
        <f>SUM(C11:N11)</f>
        <v>243983999.95999998</v>
      </c>
      <c r="Q11" s="12">
        <f>8099473.02+6721693.66</f>
        <v>14821166.68</v>
      </c>
    </row>
    <row r="12" spans="2:17" s="10" customFormat="1" ht="18" customHeight="1" x14ac:dyDescent="0.25">
      <c r="B12" s="11" t="s">
        <v>21</v>
      </c>
      <c r="C12" s="10">
        <v>111808666.67</v>
      </c>
      <c r="D12" s="10">
        <v>111808666.67</v>
      </c>
      <c r="E12" s="10">
        <v>111808666.67</v>
      </c>
      <c r="F12" s="10">
        <v>111808666.67</v>
      </c>
      <c r="G12" s="10">
        <v>105510460.94</v>
      </c>
      <c r="H12" s="10">
        <v>111808666.67</v>
      </c>
      <c r="I12" s="10">
        <v>111808666.67</v>
      </c>
      <c r="J12" s="10">
        <v>111808666.67</v>
      </c>
      <c r="K12" s="10">
        <v>111808666.67</v>
      </c>
      <c r="L12" s="10">
        <v>111808666.67</v>
      </c>
      <c r="M12" s="10">
        <f>Tabela356789101112131417[[#This Row],[OUT]]</f>
        <v>111808666.67</v>
      </c>
      <c r="N12" s="10">
        <f>Tabela356789101112131417[[#This Row],[NOV]]</f>
        <v>111808666.67</v>
      </c>
      <c r="O12" s="10">
        <f>SUM(C12:N12)</f>
        <v>1335405794.3099999</v>
      </c>
      <c r="Q12" s="12">
        <f>45000000+53774333.03</f>
        <v>98774333.030000001</v>
      </c>
    </row>
    <row r="13" spans="2:17" s="10" customFormat="1" x14ac:dyDescent="0.25">
      <c r="B13" s="11" t="s">
        <v>22</v>
      </c>
      <c r="C13" s="10">
        <f>26354528.8+13148932</f>
        <v>39503460.799999997</v>
      </c>
      <c r="D13" s="10">
        <f>26354529+13148932+6206122.99</f>
        <v>45709583.990000002</v>
      </c>
      <c r="E13" s="10">
        <f>26354529+13148932+1736919</f>
        <v>41240380</v>
      </c>
      <c r="F13" s="13">
        <f>24630572+16056958.43</f>
        <v>40687530.43</v>
      </c>
      <c r="G13" s="10">
        <f>24373856+13723957.42</f>
        <v>38097813.420000002</v>
      </c>
      <c r="H13" s="10">
        <f>28292462.65+24042739.3+11197400.11</f>
        <v>63532602.060000002</v>
      </c>
      <c r="I13" s="10">
        <v>27157128.690000001</v>
      </c>
      <c r="J13" s="10">
        <f>23951036.95</f>
        <v>23951036.949999999</v>
      </c>
      <c r="K13" s="10">
        <f>20269911.4</f>
        <v>20269911.399999999</v>
      </c>
      <c r="L13" s="10">
        <v>21816529.02</v>
      </c>
      <c r="M13" s="10">
        <v>20256285.859999999</v>
      </c>
      <c r="N13" s="10">
        <v>21633988.030000001</v>
      </c>
      <c r="O13" s="1">
        <f>SUM(C13:N13)</f>
        <v>403856250.64999998</v>
      </c>
    </row>
    <row r="14" spans="2:17" ht="18" customHeight="1" x14ac:dyDescent="0.25">
      <c r="B14" s="1" t="s">
        <v>23</v>
      </c>
      <c r="C14" s="1">
        <v>812915.47</v>
      </c>
      <c r="D14" s="1">
        <v>1019005.05</v>
      </c>
      <c r="E14" s="1">
        <v>898211.71</v>
      </c>
      <c r="F14" s="1">
        <v>925363.97</v>
      </c>
      <c r="G14" s="1">
        <v>873464.31</v>
      </c>
      <c r="H14" s="1">
        <v>732028.32</v>
      </c>
      <c r="I14" s="1">
        <v>785910.51</v>
      </c>
      <c r="J14" s="1">
        <v>843956.75</v>
      </c>
      <c r="K14" s="1">
        <v>955453.1</v>
      </c>
      <c r="L14" s="1">
        <v>1218119.8799999999</v>
      </c>
      <c r="M14" s="1">
        <v>1111555.08</v>
      </c>
      <c r="N14" s="1">
        <v>841113.33</v>
      </c>
      <c r="O14" s="1">
        <f>SUM(C14:N14)</f>
        <v>11017097.48</v>
      </c>
    </row>
    <row r="15" spans="2:17" ht="23.1" customHeight="1" x14ac:dyDescent="0.25">
      <c r="B15" s="14" t="s">
        <v>24</v>
      </c>
      <c r="C15" s="15">
        <f t="shared" ref="C15:N15" si="2">C10+C14</f>
        <v>172457042.94</v>
      </c>
      <c r="D15" s="15">
        <f t="shared" si="2"/>
        <v>178869255.71000001</v>
      </c>
      <c r="E15" s="15">
        <f t="shared" si="2"/>
        <v>174279258.38000003</v>
      </c>
      <c r="F15" s="15">
        <f t="shared" si="2"/>
        <v>173753561.06999999</v>
      </c>
      <c r="G15" s="15">
        <f t="shared" si="2"/>
        <v>164813738.67000002</v>
      </c>
      <c r="H15" s="15">
        <f t="shared" si="2"/>
        <v>196405297.05000001</v>
      </c>
      <c r="I15" s="15">
        <f t="shared" si="2"/>
        <v>160083705.87</v>
      </c>
      <c r="J15" s="15">
        <f t="shared" si="2"/>
        <v>156935660.37</v>
      </c>
      <c r="K15" s="15">
        <f t="shared" si="2"/>
        <v>153366031.16999999</v>
      </c>
      <c r="L15" s="15">
        <f t="shared" si="2"/>
        <v>155175315.56999999</v>
      </c>
      <c r="M15" s="15">
        <f t="shared" si="2"/>
        <v>153508507.59</v>
      </c>
      <c r="N15" s="15">
        <f t="shared" si="2"/>
        <v>154615768.01000002</v>
      </c>
      <c r="O15" s="15">
        <f>O10+O14</f>
        <v>1994263142.3999999</v>
      </c>
    </row>
    <row r="16" spans="2:17" ht="16.5" customHeight="1" x14ac:dyDescent="0.25">
      <c r="K16" s="28"/>
      <c r="L16" s="28"/>
      <c r="M16" s="28"/>
      <c r="N16" s="28"/>
    </row>
    <row r="17" spans="2:15" ht="23.1" customHeight="1" x14ac:dyDescent="0.25">
      <c r="B17" s="16"/>
      <c r="C17" s="17"/>
      <c r="D17" s="17"/>
      <c r="E17" s="17"/>
      <c r="F17" s="17"/>
      <c r="G17" s="17"/>
      <c r="H17" s="18"/>
      <c r="I17" s="18"/>
      <c r="J17" s="17"/>
      <c r="K17" s="28"/>
      <c r="L17" s="28"/>
      <c r="M17" s="28"/>
      <c r="N17" s="28"/>
      <c r="O17" s="17">
        <v>185090000</v>
      </c>
    </row>
    <row r="18" spans="2:15" ht="23.1" customHeight="1" x14ac:dyDescent="0.25">
      <c r="D18" s="17"/>
      <c r="E18" s="17"/>
      <c r="F18" s="17"/>
      <c r="G18" s="28"/>
      <c r="H18" s="17"/>
      <c r="I18" s="19"/>
      <c r="J18" s="17"/>
      <c r="K18" s="17"/>
      <c r="L18" s="17"/>
      <c r="M18" s="29"/>
      <c r="N18" s="19"/>
      <c r="O18" s="17">
        <f>O17-O13</f>
        <v>-218766250.64999998</v>
      </c>
    </row>
    <row r="19" spans="2:15" ht="23.1" customHeight="1" x14ac:dyDescent="0.25">
      <c r="D19" s="17"/>
      <c r="E19" s="19"/>
      <c r="F19" s="17"/>
      <c r="G19" s="17"/>
      <c r="H19" s="17"/>
      <c r="I19" s="18"/>
      <c r="J19" s="17"/>
      <c r="K19" s="17"/>
      <c r="L19" s="17"/>
      <c r="M19" s="30"/>
      <c r="N19" s="17"/>
      <c r="O19" s="17"/>
    </row>
    <row r="20" spans="2:15" ht="23.1" customHeight="1" x14ac:dyDescent="0.25">
      <c r="D20" s="17"/>
      <c r="E20" s="17" t="e">
        <f>Tabela356789101112131417[[#Totals],[MAR]]+Tabela319[[#Totals],[MAR]]+Tabela356789101118[[#Totals],[MAR]]+Tabela3520[[#Totals],[MAR]]+Tabela3567821[[#Totals],[MAR]]</f>
        <v>#REF!</v>
      </c>
      <c r="F20" s="17" t="e">
        <f>Tabela356789101112131417[[#Totals],[ABR]]+Tabela319[[#Totals],[ABR]]+Tabela356789101118[[#Totals],[ABR]]+Tabela3520[[#Totals],[ABR]]+Tabela3567821[[#Totals],[ABR]]</f>
        <v>#REF!</v>
      </c>
      <c r="G20" s="17"/>
      <c r="H20" s="19"/>
      <c r="I20" s="17"/>
      <c r="J20" s="19"/>
      <c r="K20" s="17"/>
      <c r="L20" s="28"/>
      <c r="M20" s="30"/>
      <c r="N20" s="17"/>
      <c r="O20" s="17"/>
    </row>
    <row r="21" spans="2:15" ht="23.1" customHeight="1" x14ac:dyDescent="0.25">
      <c r="C21" s="17" t="e">
        <f>Tabela356789101112131417[[#Totals],[JAN]]+Tabela319[[#Totals],[JAN]]+Tabela356789101118[[#Totals],[JAN]]+Tabela3520[[#Totals],[JAN]]+Tabela3567821[[#Totals],[JAN]]</f>
        <v>#REF!</v>
      </c>
      <c r="D21" s="17" t="e">
        <f>Tabela356789101112131417[[#Totals],[FEV]]+Tabela319[[#Totals],[FEV]]+Tabela356789101118[[#Totals],[FEV]]+Tabela3520[[#Totals],[FEV]]+Tabela3567821[[#Totals],[FEV]]</f>
        <v>#REF!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>
        <v>184679047.99000001</v>
      </c>
    </row>
    <row r="22" spans="2:15" ht="23.1" customHeight="1" x14ac:dyDescent="0.25">
      <c r="C22" s="17"/>
      <c r="D22" s="17"/>
      <c r="E22" s="17"/>
      <c r="F22" s="17"/>
      <c r="G22" s="17"/>
      <c r="H22" s="17"/>
      <c r="I22" s="17">
        <v>121222</v>
      </c>
      <c r="J22" s="17"/>
      <c r="K22" s="17"/>
      <c r="L22" s="17"/>
      <c r="M22" s="17"/>
      <c r="N22" s="17"/>
      <c r="O22" s="17"/>
    </row>
    <row r="23" spans="2:15" ht="23.1" customHeight="1" x14ac:dyDescent="0.2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23.1" customHeight="1" x14ac:dyDescent="0.25">
      <c r="C24" s="17"/>
      <c r="D24" s="17"/>
      <c r="E24" s="17"/>
      <c r="F24" s="17"/>
      <c r="G24" s="17"/>
      <c r="H24" s="17"/>
      <c r="I24" s="17"/>
      <c r="J24" s="17"/>
      <c r="K24" s="17"/>
      <c r="L24" s="20"/>
      <c r="M24" s="17"/>
      <c r="N24" s="17"/>
      <c r="O24" s="17"/>
    </row>
    <row r="25" spans="2:15" ht="23.1" customHeight="1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2:15" ht="23.1" customHeight="1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2:15" ht="23.1" customHeight="1" x14ac:dyDescent="0.25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printOptions horizontalCentered="1"/>
  <pageMargins left="0.31496062992125984" right="0.31496062992125984" top="1.3385826771653544" bottom="0.74803149606299213" header="0.31496062992125984" footer="0.51181102362204722"/>
  <pageSetup paperSize="9" scale="50" firstPageNumber="0" orientation="landscape" horizontalDpi="300" verticalDpi="300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7"/>
  <sheetViews>
    <sheetView showGridLines="0" topLeftCell="B1" zoomScale="112" zoomScaleNormal="112" workbookViewId="0">
      <selection activeCell="C2" sqref="C2"/>
    </sheetView>
  </sheetViews>
  <sheetFormatPr defaultRowHeight="16.5" x14ac:dyDescent="0.25"/>
  <cols>
    <col min="1" max="1" width="3.28515625" style="1" customWidth="1"/>
    <col min="2" max="2" width="25.7109375" style="1" customWidth="1"/>
    <col min="3" max="3" width="16.7109375" style="1" bestFit="1" customWidth="1"/>
    <col min="4" max="14" width="15.5703125" style="1" bestFit="1" customWidth="1"/>
    <col min="15" max="15" width="19.140625" style="1" bestFit="1" customWidth="1"/>
    <col min="16" max="1025" width="9.140625" style="1" customWidth="1"/>
  </cols>
  <sheetData>
    <row r="1" spans="2:15" x14ac:dyDescent="0.25">
      <c r="B1" s="32" t="s">
        <v>40</v>
      </c>
      <c r="C1" s="33">
        <v>45664</v>
      </c>
    </row>
    <row r="2" spans="2:15" ht="23.1" customHeight="1" x14ac:dyDescent="0.25">
      <c r="B2" s="2" t="s">
        <v>0</v>
      </c>
    </row>
    <row r="3" spans="2:15" ht="23.1" customHeight="1" x14ac:dyDescent="0.25">
      <c r="B3" s="2" t="s">
        <v>25</v>
      </c>
    </row>
    <row r="4" spans="2:15" ht="23.1" customHeight="1" x14ac:dyDescent="0.25">
      <c r="B4" s="2" t="s">
        <v>2</v>
      </c>
    </row>
    <row r="5" spans="2:15" ht="23.1" customHeight="1" x14ac:dyDescent="0.25"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</row>
    <row r="6" spans="2:15" ht="23.1" customHeight="1" x14ac:dyDescent="0.25">
      <c r="B6" s="6" t="s">
        <v>17</v>
      </c>
      <c r="C6" s="7">
        <f t="shared" ref="C6:N6" si="0">$O$6/12</f>
        <v>23955666.666666668</v>
      </c>
      <c r="D6" s="7">
        <f t="shared" si="0"/>
        <v>23955666.666666668</v>
      </c>
      <c r="E6" s="7">
        <f t="shared" si="0"/>
        <v>23955666.666666668</v>
      </c>
      <c r="F6" s="7">
        <f t="shared" si="0"/>
        <v>23955666.666666668</v>
      </c>
      <c r="G6" s="7">
        <f t="shared" si="0"/>
        <v>23955666.666666668</v>
      </c>
      <c r="H6" s="7">
        <f t="shared" si="0"/>
        <v>23955666.666666668</v>
      </c>
      <c r="I6" s="7">
        <f t="shared" si="0"/>
        <v>23955666.666666668</v>
      </c>
      <c r="J6" s="7">
        <f t="shared" si="0"/>
        <v>23955666.666666668</v>
      </c>
      <c r="K6" s="7">
        <f t="shared" si="0"/>
        <v>23955666.666666668</v>
      </c>
      <c r="L6" s="7">
        <f t="shared" si="0"/>
        <v>23955666.666666668</v>
      </c>
      <c r="M6" s="7">
        <f t="shared" si="0"/>
        <v>23955666.666666668</v>
      </c>
      <c r="N6" s="7">
        <f t="shared" si="0"/>
        <v>23955666.666666668</v>
      </c>
      <c r="O6" s="8">
        <v>287468000</v>
      </c>
    </row>
    <row r="8" spans="2:15" ht="23.1" customHeight="1" x14ac:dyDescent="0.25">
      <c r="B8" s="2" t="s">
        <v>18</v>
      </c>
    </row>
    <row r="9" spans="2:15" s="9" customFormat="1" ht="18" customHeight="1" x14ac:dyDescent="0.25"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</row>
    <row r="10" spans="2:15" ht="18" customHeight="1" x14ac:dyDescent="0.25">
      <c r="B10" s="1" t="s">
        <v>26</v>
      </c>
      <c r="C10" s="1">
        <f t="shared" ref="C10:N10" si="1">SUM(C11:C13)</f>
        <v>20273086.98</v>
      </c>
      <c r="D10" s="1">
        <f t="shared" si="1"/>
        <v>20697410.450000003</v>
      </c>
      <c r="E10" s="1">
        <f t="shared" si="1"/>
        <v>20948538.219999999</v>
      </c>
      <c r="F10" s="1">
        <f t="shared" si="1"/>
        <v>22228124.380000003</v>
      </c>
      <c r="G10" s="1">
        <f t="shared" si="1"/>
        <v>24452995.289999999</v>
      </c>
      <c r="H10" s="1">
        <f t="shared" si="1"/>
        <v>23266422.280000001</v>
      </c>
      <c r="I10" s="1">
        <f t="shared" si="1"/>
        <v>26736162.270000003</v>
      </c>
      <c r="J10" s="1">
        <f t="shared" si="1"/>
        <v>26998900.32</v>
      </c>
      <c r="K10" s="1">
        <f t="shared" si="1"/>
        <v>30205260.73</v>
      </c>
      <c r="L10" s="1">
        <f t="shared" si="1"/>
        <v>32533478.43</v>
      </c>
      <c r="M10" s="1">
        <f t="shared" si="1"/>
        <v>27159038.399999999</v>
      </c>
      <c r="N10" s="1">
        <f t="shared" si="1"/>
        <v>26349717.789999999</v>
      </c>
      <c r="O10" s="1">
        <f t="shared" ref="O10:O18" si="2">SUM(C10:N10)</f>
        <v>301849135.54000002</v>
      </c>
    </row>
    <row r="11" spans="2:15" s="10" customFormat="1" ht="18" customHeight="1" x14ac:dyDescent="0.25">
      <c r="B11" s="11" t="s">
        <v>27</v>
      </c>
      <c r="C11" s="13">
        <v>10424692.65</v>
      </c>
      <c r="D11" s="10">
        <v>11843571.49</v>
      </c>
      <c r="E11" s="10">
        <v>13193996.109999999</v>
      </c>
      <c r="F11" s="10">
        <v>13903022.810000001</v>
      </c>
      <c r="G11" s="10">
        <v>15770947.109999999</v>
      </c>
      <c r="H11" s="10">
        <v>14760426.01</v>
      </c>
      <c r="I11" s="10">
        <v>16820985.010000002</v>
      </c>
      <c r="J11" s="10">
        <v>15553633.08</v>
      </c>
      <c r="K11" s="10">
        <v>16641790.07</v>
      </c>
      <c r="L11" s="10">
        <v>18930748.539999999</v>
      </c>
      <c r="M11" s="10">
        <v>14114491.279999999</v>
      </c>
      <c r="N11" s="10">
        <v>14264754.91</v>
      </c>
      <c r="O11" s="10">
        <f t="shared" si="2"/>
        <v>176223059.06999999</v>
      </c>
    </row>
    <row r="12" spans="2:15" s="10" customFormat="1" ht="18" customHeight="1" x14ac:dyDescent="0.25">
      <c r="B12" s="11" t="s">
        <v>28</v>
      </c>
      <c r="C12" s="10">
        <v>9848394.3300000001</v>
      </c>
      <c r="D12" s="10">
        <v>8853838.9600000009</v>
      </c>
      <c r="E12" s="10">
        <v>7754542.1100000003</v>
      </c>
      <c r="F12" s="10">
        <v>8325101.5700000003</v>
      </c>
      <c r="G12" s="10">
        <v>8682048.1799999997</v>
      </c>
      <c r="H12" s="10">
        <v>8505996.2699999996</v>
      </c>
      <c r="I12" s="10">
        <v>9915177.2599999998</v>
      </c>
      <c r="J12" s="10">
        <v>11445267.24</v>
      </c>
      <c r="K12" s="10">
        <v>13563470.66</v>
      </c>
      <c r="L12" s="10">
        <v>13602729.890000001</v>
      </c>
      <c r="M12" s="10">
        <v>13044547.119999999</v>
      </c>
      <c r="N12" s="10">
        <v>12084962.880000001</v>
      </c>
      <c r="O12" s="10">
        <f t="shared" si="2"/>
        <v>125626076.47</v>
      </c>
    </row>
    <row r="13" spans="2:15" s="10" customFormat="1" ht="18" hidden="1" customHeight="1" x14ac:dyDescent="0.25">
      <c r="B13" s="11" t="s">
        <v>29</v>
      </c>
      <c r="C13" s="10">
        <v>0</v>
      </c>
      <c r="O13" s="10">
        <f t="shared" si="2"/>
        <v>0</v>
      </c>
    </row>
    <row r="14" spans="2:15" ht="18" customHeight="1" x14ac:dyDescent="0.25">
      <c r="B14" s="1" t="s">
        <v>23</v>
      </c>
      <c r="C14" s="1">
        <v>3650858.31</v>
      </c>
      <c r="D14" s="1">
        <v>3162497.87</v>
      </c>
      <c r="E14" s="1">
        <v>3339289.88</v>
      </c>
      <c r="F14" s="1">
        <v>3638238.19</v>
      </c>
      <c r="G14" s="1">
        <v>3434123.43</v>
      </c>
      <c r="H14" s="1">
        <v>3335156.2</v>
      </c>
      <c r="I14" s="1">
        <v>3876488.35</v>
      </c>
      <c r="J14" s="1">
        <v>3777969.5</v>
      </c>
      <c r="K14" s="1">
        <v>3698865.52</v>
      </c>
      <c r="L14" s="1">
        <v>4263374.72</v>
      </c>
      <c r="M14" s="1">
        <v>3623532.38</v>
      </c>
      <c r="N14" s="1">
        <v>3849684.4</v>
      </c>
      <c r="O14" s="1">
        <f t="shared" si="2"/>
        <v>43650078.75</v>
      </c>
    </row>
    <row r="15" spans="2:15" ht="18" customHeight="1" x14ac:dyDescent="0.25">
      <c r="B15" s="1" t="s">
        <v>30</v>
      </c>
      <c r="C15" s="1">
        <v>86210.66</v>
      </c>
      <c r="D15" s="1">
        <v>96288.5</v>
      </c>
      <c r="E15" s="1">
        <v>97738.91</v>
      </c>
      <c r="F15" s="1">
        <v>97360.5</v>
      </c>
      <c r="G15" s="1">
        <v>98251.26</v>
      </c>
      <c r="H15" s="1">
        <v>105658.42</v>
      </c>
      <c r="I15" s="1">
        <v>87879.43</v>
      </c>
      <c r="J15" s="1">
        <v>103823.62</v>
      </c>
      <c r="K15" s="1">
        <v>104489.54</v>
      </c>
      <c r="L15" s="1">
        <v>103951.47</v>
      </c>
      <c r="M15" s="1">
        <v>106480.35</v>
      </c>
      <c r="N15" s="1">
        <v>106747.14</v>
      </c>
      <c r="O15" s="1">
        <f t="shared" si="2"/>
        <v>1194879.7999999998</v>
      </c>
    </row>
    <row r="16" spans="2:15" ht="18" customHeight="1" x14ac:dyDescent="0.25">
      <c r="B16" s="21" t="s">
        <v>31</v>
      </c>
      <c r="C16" s="1">
        <v>2841167.06</v>
      </c>
      <c r="D16" s="1">
        <v>2682688.5299999998</v>
      </c>
      <c r="E16" s="1">
        <v>2974486.69</v>
      </c>
      <c r="F16" s="1">
        <v>3028770.66</v>
      </c>
      <c r="G16" s="1">
        <v>3137767.8</v>
      </c>
      <c r="H16" s="1">
        <v>3054536.71</v>
      </c>
      <c r="I16" s="1">
        <v>3030761.3</v>
      </c>
      <c r="J16" s="1">
        <v>3029161.23</v>
      </c>
      <c r="K16" s="1">
        <v>3036944.37</v>
      </c>
      <c r="L16" s="1">
        <v>3065351.91</v>
      </c>
      <c r="M16" s="1">
        <v>3123583.16</v>
      </c>
      <c r="N16" s="1">
        <v>3162506.35</v>
      </c>
      <c r="O16" s="1">
        <f t="shared" si="2"/>
        <v>36167725.770000003</v>
      </c>
    </row>
    <row r="17" spans="2:15" ht="18" customHeight="1" x14ac:dyDescent="0.25">
      <c r="B17" s="1" t="s">
        <v>32</v>
      </c>
      <c r="D17" s="1">
        <v>693200</v>
      </c>
      <c r="F17" s="1">
        <v>10446.18</v>
      </c>
      <c r="G17" s="1">
        <v>223649.71</v>
      </c>
      <c r="H17" s="1">
        <v>12058.01</v>
      </c>
      <c r="I17" s="1">
        <v>0</v>
      </c>
      <c r="J17" s="1">
        <v>4569.18</v>
      </c>
      <c r="K17" s="1">
        <v>4517.59</v>
      </c>
      <c r="L17" s="1">
        <v>1762.59</v>
      </c>
      <c r="M17" s="1">
        <v>613787.93000000005</v>
      </c>
      <c r="N17" s="1">
        <v>56000</v>
      </c>
      <c r="O17" s="1">
        <f t="shared" si="2"/>
        <v>1619991.19</v>
      </c>
    </row>
    <row r="18" spans="2:15" ht="18" customHeight="1" x14ac:dyDescent="0.25">
      <c r="B18" s="1" t="s">
        <v>39</v>
      </c>
      <c r="C18" s="1">
        <f>-'FUNSEG 24'!C10</f>
        <v>-608192.60940000298</v>
      </c>
      <c r="D18" s="1">
        <f>-'FUNSEG 24'!D10</f>
        <v>-620922.31350000005</v>
      </c>
      <c r="E18" s="1">
        <f>-'FUNSEG 24'!E10</f>
        <v>-628456.14659999998</v>
      </c>
      <c r="F18" s="1">
        <f>-'FUNSEG 24'!F10</f>
        <v>-666843.73140000098</v>
      </c>
      <c r="G18" s="1">
        <f>-'FUNSEG 24'!G10</f>
        <v>-733589.85870000103</v>
      </c>
      <c r="H18" s="1">
        <f>-'FUNSEG 24'!H10</f>
        <v>-697992.66839999997</v>
      </c>
      <c r="I18" s="1">
        <f>-'FUNSEG 24'!I10</f>
        <v>-802084.86809999996</v>
      </c>
      <c r="J18" s="1">
        <f>-'FUNSEG 24'!J10</f>
        <v>-809967.00959999999</v>
      </c>
      <c r="K18" s="1">
        <f>-'FUNSEG 24'!K10</f>
        <v>-906157.82189999998</v>
      </c>
      <c r="L18" s="1">
        <f>-'FUNSEG 24'!L10</f>
        <v>-976004.35290000006</v>
      </c>
      <c r="M18" s="1">
        <f>-'FUNSEG 24'!M10</f>
        <v>-814771.15</v>
      </c>
      <c r="N18" s="1">
        <f>-'FUNSEG 24'!N10</f>
        <v>-790491.53370000003</v>
      </c>
      <c r="O18" s="1">
        <f t="shared" si="2"/>
        <v>-9055474.0642000046</v>
      </c>
    </row>
    <row r="19" spans="2:15" ht="23.1" customHeight="1" x14ac:dyDescent="0.25">
      <c r="B19" s="14" t="s">
        <v>24</v>
      </c>
      <c r="C19" s="15">
        <f>C10+C14+C15+C16+C17+C18</f>
        <v>26243130.400599994</v>
      </c>
      <c r="D19" s="15">
        <f t="shared" ref="D19:O19" si="3">D10+D14+D15+D16+D17+D18</f>
        <v>26711163.036500007</v>
      </c>
      <c r="E19" s="15">
        <f t="shared" si="3"/>
        <v>26731597.553399999</v>
      </c>
      <c r="F19" s="15">
        <f t="shared" si="3"/>
        <v>28336096.178600002</v>
      </c>
      <c r="G19" s="15">
        <f t="shared" si="3"/>
        <v>30613197.631300002</v>
      </c>
      <c r="H19" s="15">
        <f t="shared" si="3"/>
        <v>29075838.951600004</v>
      </c>
      <c r="I19" s="15">
        <f t="shared" si="3"/>
        <v>32929206.481900003</v>
      </c>
      <c r="J19" s="15">
        <f t="shared" si="3"/>
        <v>33104456.840400003</v>
      </c>
      <c r="K19" s="15">
        <f t="shared" si="3"/>
        <v>36143919.928099997</v>
      </c>
      <c r="L19" s="15">
        <f t="shared" si="3"/>
        <v>38991914.767100006</v>
      </c>
      <c r="M19" s="15">
        <f t="shared" si="3"/>
        <v>33811651.07</v>
      </c>
      <c r="N19" s="15">
        <f t="shared" si="3"/>
        <v>32734164.146299999</v>
      </c>
      <c r="O19" s="15">
        <f t="shared" si="3"/>
        <v>375426336.98580003</v>
      </c>
    </row>
    <row r="20" spans="2:15" ht="23.1" customHeight="1" x14ac:dyDescent="0.25">
      <c r="F20" s="22"/>
      <c r="I20" s="23"/>
      <c r="L20" s="23"/>
    </row>
    <row r="21" spans="2:15" ht="23.1" customHeight="1" x14ac:dyDescent="0.25">
      <c r="L21" s="17"/>
    </row>
    <row r="22" spans="2:15" ht="23.1" customHeight="1" x14ac:dyDescent="0.25">
      <c r="C22" s="17"/>
      <c r="D22" s="17"/>
      <c r="L22" s="17"/>
    </row>
    <row r="23" spans="2:15" ht="23.1" customHeight="1" x14ac:dyDescent="0.25">
      <c r="C23" s="24">
        <f>C24/12</f>
        <v>23955666.666666668</v>
      </c>
      <c r="L23" s="17"/>
    </row>
    <row r="24" spans="2:15" ht="23.1" customHeight="1" x14ac:dyDescent="0.25">
      <c r="C24" s="25">
        <v>287468000</v>
      </c>
      <c r="E24" s="17">
        <f>E14+E15+E16+'TJ 24'!E13+'TJ 24'!E14+'FERC 24'!E12+'FESMAM 24'!E12+'FUNSEG 24'!E11</f>
        <v>48722007.670000002</v>
      </c>
    </row>
    <row r="25" spans="2:15" ht="23.1" customHeight="1" x14ac:dyDescent="0.25">
      <c r="C25" s="25"/>
      <c r="E25" s="17">
        <v>3434123.43</v>
      </c>
      <c r="K25" s="22"/>
    </row>
    <row r="26" spans="2:15" ht="23.1" customHeight="1" x14ac:dyDescent="0.25">
      <c r="C26" s="25" t="e">
        <f>Tabela319[[#Totals],[JAN]]*12</f>
        <v>#REF!</v>
      </c>
      <c r="K26" s="22"/>
    </row>
    <row r="27" spans="2:15" ht="23.1" customHeight="1" x14ac:dyDescent="0.25">
      <c r="C27" s="25"/>
    </row>
  </sheetData>
  <printOptions horizontalCentered="1"/>
  <pageMargins left="0.31496062992125984" right="0.31496062992125984" top="1.3385826771653544" bottom="0.74803149606299213" header="0.31496062992125984" footer="0.51181102362204722"/>
  <pageSetup paperSize="9" scale="50" firstPageNumber="0" orientation="landscape" horizontalDpi="300" verticalDpi="300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3"/>
  <sheetViews>
    <sheetView showGridLines="0" zoomScaleNormal="100" workbookViewId="0">
      <selection activeCell="C2" sqref="C2"/>
    </sheetView>
  </sheetViews>
  <sheetFormatPr defaultRowHeight="16.5" x14ac:dyDescent="0.25"/>
  <cols>
    <col min="1" max="1" width="4.5703125" style="1" customWidth="1"/>
    <col min="2" max="2" width="27.5703125" style="1" customWidth="1"/>
    <col min="3" max="9" width="12.7109375" style="1" bestFit="1" customWidth="1"/>
    <col min="10" max="10" width="14" style="1" bestFit="1" customWidth="1"/>
    <col min="11" max="14" width="12.7109375" style="1" bestFit="1" customWidth="1"/>
    <col min="15" max="15" width="15.5703125" style="1" bestFit="1" customWidth="1"/>
    <col min="16" max="1025" width="9.140625" style="1" customWidth="1"/>
  </cols>
  <sheetData>
    <row r="1" spans="2:15" x14ac:dyDescent="0.25">
      <c r="B1" s="32" t="s">
        <v>40</v>
      </c>
      <c r="C1" s="33">
        <v>45664</v>
      </c>
    </row>
    <row r="2" spans="2:15" ht="23.1" customHeight="1" x14ac:dyDescent="0.25">
      <c r="B2" s="2" t="s">
        <v>0</v>
      </c>
    </row>
    <row r="3" spans="2:15" ht="23.1" customHeight="1" x14ac:dyDescent="0.25">
      <c r="B3" s="2" t="s">
        <v>33</v>
      </c>
    </row>
    <row r="4" spans="2:15" ht="23.1" customHeight="1" x14ac:dyDescent="0.25">
      <c r="B4" s="2" t="s">
        <v>2</v>
      </c>
    </row>
    <row r="5" spans="2:15" ht="23.1" customHeight="1" x14ac:dyDescent="0.25"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</row>
    <row r="6" spans="2:15" ht="23.1" customHeight="1" x14ac:dyDescent="0.25">
      <c r="B6" s="6" t="s">
        <v>17</v>
      </c>
      <c r="C6" s="7">
        <f t="shared" ref="C6:N6" si="0">$O$6/12</f>
        <v>80500</v>
      </c>
      <c r="D6" s="7">
        <f t="shared" si="0"/>
        <v>80500</v>
      </c>
      <c r="E6" s="7">
        <f t="shared" si="0"/>
        <v>80500</v>
      </c>
      <c r="F6" s="7">
        <f t="shared" si="0"/>
        <v>80500</v>
      </c>
      <c r="G6" s="7">
        <f t="shared" si="0"/>
        <v>80500</v>
      </c>
      <c r="H6" s="7">
        <f t="shared" si="0"/>
        <v>80500</v>
      </c>
      <c r="I6" s="7">
        <f t="shared" si="0"/>
        <v>80500</v>
      </c>
      <c r="J6" s="7">
        <f t="shared" si="0"/>
        <v>80500</v>
      </c>
      <c r="K6" s="7">
        <f t="shared" si="0"/>
        <v>80500</v>
      </c>
      <c r="L6" s="7">
        <f t="shared" si="0"/>
        <v>80500</v>
      </c>
      <c r="M6" s="7">
        <f t="shared" si="0"/>
        <v>80500</v>
      </c>
      <c r="N6" s="7">
        <f t="shared" si="0"/>
        <v>80500</v>
      </c>
      <c r="O6" s="8">
        <v>966000</v>
      </c>
    </row>
    <row r="7" spans="2:15" ht="11.25" customHeight="1" x14ac:dyDescent="0.25"/>
    <row r="8" spans="2:15" ht="11.25" customHeight="1" x14ac:dyDescent="0.25">
      <c r="B8" s="2" t="s">
        <v>18</v>
      </c>
    </row>
    <row r="9" spans="2:15" s="9" customFormat="1" ht="18" customHeight="1" x14ac:dyDescent="0.25"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</row>
    <row r="10" spans="2:15" ht="18" customHeight="1" x14ac:dyDescent="0.25">
      <c r="B10" s="1" t="s">
        <v>19</v>
      </c>
      <c r="C10" s="1">
        <f t="shared" ref="C10:N10" si="1">C11</f>
        <v>0</v>
      </c>
      <c r="D10" s="1">
        <f t="shared" si="1"/>
        <v>0</v>
      </c>
      <c r="E10" s="1">
        <f t="shared" si="1"/>
        <v>80500</v>
      </c>
      <c r="F10" s="1">
        <f t="shared" si="1"/>
        <v>80500</v>
      </c>
      <c r="G10" s="1">
        <f t="shared" si="1"/>
        <v>80500</v>
      </c>
      <c r="H10" s="1">
        <f t="shared" si="1"/>
        <v>80500</v>
      </c>
      <c r="I10" s="1">
        <f t="shared" si="1"/>
        <v>80500</v>
      </c>
      <c r="J10" s="1">
        <f t="shared" si="1"/>
        <v>402500</v>
      </c>
      <c r="K10" s="1">
        <f t="shared" si="1"/>
        <v>80500</v>
      </c>
      <c r="L10" s="1">
        <f t="shared" si="1"/>
        <v>80500</v>
      </c>
      <c r="M10" s="1">
        <f t="shared" si="1"/>
        <v>80500</v>
      </c>
      <c r="N10" s="1">
        <f t="shared" si="1"/>
        <v>0</v>
      </c>
      <c r="O10" s="1">
        <f>SUM(C10:N10)</f>
        <v>1046500</v>
      </c>
    </row>
    <row r="11" spans="2:15" s="10" customFormat="1" ht="18" customHeight="1" x14ac:dyDescent="0.25">
      <c r="B11" s="11" t="s">
        <v>34</v>
      </c>
      <c r="C11" s="10">
        <v>0</v>
      </c>
      <c r="D11" s="10">
        <v>0</v>
      </c>
      <c r="E11" s="10">
        <v>80500</v>
      </c>
      <c r="F11" s="10">
        <v>80500</v>
      </c>
      <c r="G11" s="10">
        <v>80500</v>
      </c>
      <c r="H11" s="10">
        <v>80500</v>
      </c>
      <c r="I11" s="10">
        <v>80500</v>
      </c>
      <c r="J11" s="10">
        <v>402500</v>
      </c>
      <c r="K11" s="10">
        <v>80500</v>
      </c>
      <c r="L11" s="10">
        <v>80500</v>
      </c>
      <c r="M11" s="10">
        <v>80500</v>
      </c>
      <c r="N11" s="10">
        <v>0</v>
      </c>
      <c r="O11" s="1">
        <f>SUM(C11:N11)</f>
        <v>1046500</v>
      </c>
    </row>
    <row r="12" spans="2:15" ht="18" customHeight="1" x14ac:dyDescent="0.25">
      <c r="B12" s="1" t="s">
        <v>23</v>
      </c>
      <c r="C12" s="1">
        <v>10262.030000000001</v>
      </c>
      <c r="D12" s="1">
        <v>9044.84</v>
      </c>
      <c r="E12" s="1">
        <v>9480.08</v>
      </c>
      <c r="F12" s="1">
        <v>9976.0300000000007</v>
      </c>
      <c r="G12" s="1">
        <v>9564.64</v>
      </c>
      <c r="H12" s="1">
        <v>9341.64</v>
      </c>
      <c r="I12" s="1">
        <v>10712.65</v>
      </c>
      <c r="J12" s="1">
        <v>10984.7</v>
      </c>
      <c r="K12" s="1">
        <v>12252.85</v>
      </c>
      <c r="L12" s="1">
        <v>13832.47</v>
      </c>
      <c r="M12" s="1">
        <v>11468.16</v>
      </c>
      <c r="N12" s="1">
        <v>12809.91</v>
      </c>
      <c r="O12" s="1">
        <f>SUM(C12:N12)</f>
        <v>129730.00000000001</v>
      </c>
    </row>
    <row r="13" spans="2:15" ht="23.1" customHeight="1" x14ac:dyDescent="0.25">
      <c r="B13" s="14" t="s">
        <v>24</v>
      </c>
      <c r="C13" s="15">
        <f t="shared" ref="C13:O13" si="2">C10+C12</f>
        <v>10262.030000000001</v>
      </c>
      <c r="D13" s="15">
        <f t="shared" si="2"/>
        <v>9044.84</v>
      </c>
      <c r="E13" s="15">
        <f t="shared" si="2"/>
        <v>89980.08</v>
      </c>
      <c r="F13" s="15">
        <f t="shared" si="2"/>
        <v>90476.03</v>
      </c>
      <c r="G13" s="15">
        <f t="shared" si="2"/>
        <v>90064.639999999999</v>
      </c>
      <c r="H13" s="15">
        <f t="shared" si="2"/>
        <v>89841.64</v>
      </c>
      <c r="I13" s="15">
        <f t="shared" si="2"/>
        <v>91212.65</v>
      </c>
      <c r="J13" s="15">
        <f t="shared" si="2"/>
        <v>413484.7</v>
      </c>
      <c r="K13" s="15">
        <f t="shared" si="2"/>
        <v>92752.85</v>
      </c>
      <c r="L13" s="15">
        <f t="shared" si="2"/>
        <v>94332.47</v>
      </c>
      <c r="M13" s="15">
        <f t="shared" si="2"/>
        <v>91968.16</v>
      </c>
      <c r="N13" s="15">
        <f t="shared" si="2"/>
        <v>12809.91</v>
      </c>
      <c r="O13" s="15">
        <f t="shared" si="2"/>
        <v>1176230</v>
      </c>
    </row>
  </sheetData>
  <printOptions horizontalCentered="1"/>
  <pageMargins left="0.31496062992125984" right="0.31496062992125984" top="1.3385826771653544" bottom="0.74803149606299213" header="0.31496062992125984" footer="0.51181102362204722"/>
  <pageSetup paperSize="9" scale="50" firstPageNumber="0" orientation="landscape" horizontalDpi="300" verticalDpi="300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2"/>
  <sheetViews>
    <sheetView showGridLines="0" topLeftCell="B1" zoomScale="79" zoomScaleNormal="79" workbookViewId="0">
      <selection activeCell="C2" sqref="C2"/>
    </sheetView>
  </sheetViews>
  <sheetFormatPr defaultRowHeight="16.5" x14ac:dyDescent="0.25"/>
  <cols>
    <col min="1" max="1" width="4.5703125" style="1" customWidth="1"/>
    <col min="2" max="2" width="27.5703125" style="1" customWidth="1"/>
    <col min="3" max="3" width="16.42578125" style="1" customWidth="1"/>
    <col min="4" max="11" width="17.85546875" style="1" customWidth="1"/>
    <col min="12" max="12" width="18" style="1" customWidth="1"/>
    <col min="13" max="14" width="17.85546875" style="1" customWidth="1"/>
    <col min="15" max="15" width="19.140625" style="1" customWidth="1"/>
    <col min="16" max="16" width="17.140625" style="1" hidden="1" customWidth="1"/>
    <col min="17" max="17" width="9.140625" style="1" hidden="1" customWidth="1"/>
    <col min="18" max="1025" width="9.140625" style="1" customWidth="1"/>
  </cols>
  <sheetData>
    <row r="1" spans="2:16" x14ac:dyDescent="0.25">
      <c r="B1" s="32" t="s">
        <v>40</v>
      </c>
      <c r="C1" s="33">
        <v>45664</v>
      </c>
    </row>
    <row r="2" spans="2:16" ht="23.1" customHeight="1" x14ac:dyDescent="0.25">
      <c r="B2" s="2" t="s">
        <v>0</v>
      </c>
    </row>
    <row r="3" spans="2:16" ht="23.1" customHeight="1" x14ac:dyDescent="0.25">
      <c r="B3" s="2" t="s">
        <v>35</v>
      </c>
    </row>
    <row r="4" spans="2:16" ht="23.1" customHeight="1" x14ac:dyDescent="0.25">
      <c r="B4" s="2" t="s">
        <v>2</v>
      </c>
    </row>
    <row r="5" spans="2:16" ht="23.1" customHeight="1" x14ac:dyDescent="0.25"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</row>
    <row r="6" spans="2:16" ht="23.1" customHeight="1" x14ac:dyDescent="0.25">
      <c r="B6" s="6" t="s">
        <v>17</v>
      </c>
      <c r="C6" s="7">
        <f t="shared" ref="C6:N6" si="0">$O$6/12</f>
        <v>1419166.6666666667</v>
      </c>
      <c r="D6" s="7">
        <f t="shared" si="0"/>
        <v>1419166.6666666667</v>
      </c>
      <c r="E6" s="7">
        <f t="shared" si="0"/>
        <v>1419166.6666666667</v>
      </c>
      <c r="F6" s="7">
        <f t="shared" si="0"/>
        <v>1419166.6666666667</v>
      </c>
      <c r="G6" s="7">
        <f t="shared" si="0"/>
        <v>1419166.6666666667</v>
      </c>
      <c r="H6" s="7">
        <f t="shared" si="0"/>
        <v>1419166.6666666667</v>
      </c>
      <c r="I6" s="7">
        <f t="shared" si="0"/>
        <v>1419166.6666666667</v>
      </c>
      <c r="J6" s="7">
        <f t="shared" si="0"/>
        <v>1419166.6666666667</v>
      </c>
      <c r="K6" s="7">
        <f t="shared" si="0"/>
        <v>1419166.6666666667</v>
      </c>
      <c r="L6" s="7">
        <f t="shared" si="0"/>
        <v>1419166.6666666667</v>
      </c>
      <c r="M6" s="7">
        <f t="shared" si="0"/>
        <v>1419166.6666666667</v>
      </c>
      <c r="N6" s="7">
        <f t="shared" si="0"/>
        <v>1419166.6666666667</v>
      </c>
      <c r="O6" s="8">
        <v>17030000</v>
      </c>
    </row>
    <row r="8" spans="2:16" ht="23.1" customHeight="1" x14ac:dyDescent="0.25">
      <c r="B8" s="2" t="s">
        <v>18</v>
      </c>
    </row>
    <row r="9" spans="2:16" s="9" customFormat="1" ht="18" customHeight="1" x14ac:dyDescent="0.25"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38</v>
      </c>
    </row>
    <row r="10" spans="2:16" ht="18" customHeight="1" x14ac:dyDescent="0.25">
      <c r="B10" s="1" t="s">
        <v>26</v>
      </c>
      <c r="C10" s="1">
        <f t="shared" ref="C10:N10" si="1">SUM(C11:C11)</f>
        <v>1483954.49</v>
      </c>
      <c r="D10" s="1">
        <f t="shared" si="1"/>
        <v>1205012.69</v>
      </c>
      <c r="E10" s="1">
        <f t="shared" si="1"/>
        <v>1329546.3899999999</v>
      </c>
      <c r="F10" s="1">
        <f t="shared" si="1"/>
        <v>1226108.06</v>
      </c>
      <c r="G10" s="1">
        <f t="shared" si="1"/>
        <v>1588550.56</v>
      </c>
      <c r="H10" s="1">
        <f t="shared" si="1"/>
        <v>1330609.8500000001</v>
      </c>
      <c r="I10" s="1">
        <f t="shared" si="1"/>
        <v>1738878.07</v>
      </c>
      <c r="J10" s="1">
        <f t="shared" si="1"/>
        <v>1525878.71</v>
      </c>
      <c r="K10" s="1">
        <f t="shared" si="1"/>
        <v>1508571.25</v>
      </c>
      <c r="L10" s="1">
        <f t="shared" si="1"/>
        <v>1931617.56</v>
      </c>
      <c r="M10" s="1">
        <f t="shared" si="1"/>
        <v>1407964.9399999997</v>
      </c>
      <c r="N10" s="1">
        <f t="shared" si="1"/>
        <v>1679767.27</v>
      </c>
      <c r="O10" s="1">
        <f>SUM(C10:N10)</f>
        <v>17956459.84</v>
      </c>
      <c r="P10" s="1">
        <f>SUM(P11)</f>
        <v>17684657</v>
      </c>
    </row>
    <row r="11" spans="2:16" s="10" customFormat="1" ht="18" customHeight="1" x14ac:dyDescent="0.25">
      <c r="B11" s="11" t="s">
        <v>36</v>
      </c>
      <c r="C11" s="1">
        <v>1483954.49</v>
      </c>
      <c r="D11" s="1">
        <v>1205012.69</v>
      </c>
      <c r="E11" s="1">
        <v>1329546.3899999999</v>
      </c>
      <c r="F11" s="1">
        <v>1226108.06</v>
      </c>
      <c r="G11" s="10">
        <v>1588550.56</v>
      </c>
      <c r="H11" s="10">
        <v>1330609.8500000001</v>
      </c>
      <c r="I11" s="10">
        <v>1738878.07</v>
      </c>
      <c r="J11" s="10">
        <v>1525878.71</v>
      </c>
      <c r="K11" s="10">
        <v>1508571.25</v>
      </c>
      <c r="L11" s="10">
        <v>1931617.56</v>
      </c>
      <c r="M11" s="10">
        <v>1407964.9399999997</v>
      </c>
      <c r="N11" s="10">
        <v>1679767.27</v>
      </c>
      <c r="O11" s="10">
        <f>SUM(C11:N11)</f>
        <v>17956459.84</v>
      </c>
      <c r="P11" s="10">
        <v>17684657</v>
      </c>
    </row>
    <row r="12" spans="2:16" ht="18" customHeight="1" x14ac:dyDescent="0.25">
      <c r="B12" s="1" t="s">
        <v>23</v>
      </c>
      <c r="C12" s="1">
        <v>61012.15</v>
      </c>
      <c r="D12" s="1">
        <v>50909.98</v>
      </c>
      <c r="E12" s="1">
        <v>55582.86</v>
      </c>
      <c r="F12" s="1">
        <v>60850.21</v>
      </c>
      <c r="G12" s="1">
        <v>28295.25</v>
      </c>
      <c r="H12" s="1">
        <v>17624.580000000002</v>
      </c>
      <c r="I12" s="1">
        <v>17997.009999999998</v>
      </c>
      <c r="J12" s="1">
        <v>17918.509999999998</v>
      </c>
      <c r="K12" s="1">
        <v>17684.88</v>
      </c>
      <c r="L12" s="1">
        <v>20441.48</v>
      </c>
      <c r="M12" s="1">
        <v>19718.23</v>
      </c>
      <c r="N12" s="1">
        <v>15954.3</v>
      </c>
      <c r="O12" s="1">
        <f>SUM(C12:N12)</f>
        <v>383989.43999999994</v>
      </c>
      <c r="P12" s="1">
        <v>383687</v>
      </c>
    </row>
    <row r="13" spans="2:16" ht="18" customHeight="1" x14ac:dyDescent="0.25">
      <c r="B13" s="26" t="s">
        <v>24</v>
      </c>
      <c r="C13" s="27">
        <f t="shared" ref="C13:O13" si="2">C10+C12</f>
        <v>1544966.64</v>
      </c>
      <c r="D13" s="27">
        <f t="shared" si="2"/>
        <v>1255922.67</v>
      </c>
      <c r="E13" s="27">
        <f t="shared" si="2"/>
        <v>1385129.25</v>
      </c>
      <c r="F13" s="27">
        <f t="shared" si="2"/>
        <v>1286958.27</v>
      </c>
      <c r="G13" s="27">
        <f t="shared" si="2"/>
        <v>1616845.81</v>
      </c>
      <c r="H13" s="27">
        <f t="shared" si="2"/>
        <v>1348234.4300000002</v>
      </c>
      <c r="I13" s="27">
        <f t="shared" si="2"/>
        <v>1756875.08</v>
      </c>
      <c r="J13" s="27">
        <f t="shared" si="2"/>
        <v>1543797.22</v>
      </c>
      <c r="K13" s="27">
        <f t="shared" si="2"/>
        <v>1526256.13</v>
      </c>
      <c r="L13" s="27">
        <f t="shared" si="2"/>
        <v>1952059.04</v>
      </c>
      <c r="M13" s="27">
        <f t="shared" si="2"/>
        <v>1427683.1699999997</v>
      </c>
      <c r="N13" s="27">
        <f t="shared" si="2"/>
        <v>1695721.57</v>
      </c>
      <c r="O13" s="27">
        <f t="shared" si="2"/>
        <v>18340449.280000001</v>
      </c>
      <c r="P13" s="27">
        <f>P10+P12</f>
        <v>18068344</v>
      </c>
    </row>
    <row r="14" spans="2:16" ht="23.1" customHeight="1" x14ac:dyDescent="0.25">
      <c r="B14" s="14"/>
      <c r="C14" s="23"/>
      <c r="D14" s="23"/>
      <c r="E14" s="23"/>
      <c r="F14" s="23"/>
      <c r="G14" s="23"/>
      <c r="H14" s="23"/>
      <c r="I14" s="23"/>
      <c r="J14" s="23"/>
      <c r="K14" s="23"/>
    </row>
    <row r="16" spans="2:16" ht="23.1" customHeight="1" x14ac:dyDescent="0.25">
      <c r="C16" s="17" t="e">
        <f>AVERAGE(Tabela3520[[#Totals],[JAN]:[ABR]])</f>
        <v>#REF!</v>
      </c>
      <c r="O16" s="31"/>
    </row>
    <row r="17" spans="3:11" ht="23.1" customHeight="1" x14ac:dyDescent="0.25">
      <c r="C17" s="17">
        <f>C18/12</f>
        <v>1419166.6666666667</v>
      </c>
    </row>
    <row r="18" spans="3:11" ht="23.1" customHeight="1" x14ac:dyDescent="0.25">
      <c r="C18" s="17">
        <v>17030000</v>
      </c>
    </row>
    <row r="19" spans="3:11" ht="23.1" customHeight="1" x14ac:dyDescent="0.25">
      <c r="C19" s="17"/>
    </row>
    <row r="21" spans="3:11" ht="23.1" customHeight="1" x14ac:dyDescent="0.25">
      <c r="K21" s="22"/>
    </row>
    <row r="22" spans="3:11" ht="23.1" customHeight="1" x14ac:dyDescent="0.25">
      <c r="K22" s="22"/>
    </row>
  </sheetData>
  <printOptions horizontalCentered="1"/>
  <pageMargins left="0.31496062992125984" right="0.31496062992125984" top="1.3385826771653544" bottom="0.74803149606299213" header="0.31496062992125984" footer="0.51181102362204722"/>
  <pageSetup paperSize="9" scale="50" firstPageNumber="0" orientation="landscape" horizontalDpi="300" verticalDpi="300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2"/>
  <sheetViews>
    <sheetView showGridLines="0" zoomScaleNormal="100" workbookViewId="0">
      <selection activeCell="C2" sqref="C2"/>
    </sheetView>
  </sheetViews>
  <sheetFormatPr defaultRowHeight="16.5" x14ac:dyDescent="0.25"/>
  <cols>
    <col min="1" max="1" width="4.5703125" style="1" customWidth="1"/>
    <col min="2" max="2" width="27.5703125" style="1" customWidth="1"/>
    <col min="3" max="3" width="15.5703125" style="1" bestFit="1" customWidth="1"/>
    <col min="4" max="10" width="14" style="1" bestFit="1" customWidth="1"/>
    <col min="11" max="12" width="15.5703125" style="1" bestFit="1" customWidth="1"/>
    <col min="13" max="14" width="14" style="1" bestFit="1" customWidth="1"/>
    <col min="15" max="15" width="17" style="1" bestFit="1" customWidth="1"/>
    <col min="16" max="1025" width="9.140625" style="1" customWidth="1"/>
  </cols>
  <sheetData>
    <row r="1" spans="2:15" x14ac:dyDescent="0.25">
      <c r="B1" s="32" t="s">
        <v>40</v>
      </c>
      <c r="C1" s="33">
        <v>45664</v>
      </c>
    </row>
    <row r="2" spans="2:15" ht="23.1" customHeight="1" x14ac:dyDescent="0.25">
      <c r="B2" s="2" t="s">
        <v>0</v>
      </c>
    </row>
    <row r="3" spans="2:15" ht="23.1" customHeight="1" x14ac:dyDescent="0.25">
      <c r="B3" s="2" t="s">
        <v>37</v>
      </c>
    </row>
    <row r="4" spans="2:15" ht="23.1" customHeight="1" x14ac:dyDescent="0.25">
      <c r="B4" s="2" t="s">
        <v>2</v>
      </c>
    </row>
    <row r="5" spans="2:15" ht="23.1" customHeight="1" x14ac:dyDescent="0.25"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</row>
    <row r="6" spans="2:15" ht="23.1" customHeight="1" x14ac:dyDescent="0.25">
      <c r="B6" s="6" t="s">
        <v>17</v>
      </c>
      <c r="C6" s="7">
        <f t="shared" ref="C6:N6" si="0">$O$6/12</f>
        <v>718666.66666666663</v>
      </c>
      <c r="D6" s="7">
        <f t="shared" si="0"/>
        <v>718666.66666666663</v>
      </c>
      <c r="E6" s="7">
        <f t="shared" si="0"/>
        <v>718666.66666666663</v>
      </c>
      <c r="F6" s="7">
        <f t="shared" si="0"/>
        <v>718666.66666666663</v>
      </c>
      <c r="G6" s="7">
        <f t="shared" si="0"/>
        <v>718666.66666666663</v>
      </c>
      <c r="H6" s="7">
        <f t="shared" si="0"/>
        <v>718666.66666666663</v>
      </c>
      <c r="I6" s="7">
        <f t="shared" si="0"/>
        <v>718666.66666666663</v>
      </c>
      <c r="J6" s="7">
        <f t="shared" si="0"/>
        <v>718666.66666666663</v>
      </c>
      <c r="K6" s="7">
        <f t="shared" si="0"/>
        <v>718666.66666666663</v>
      </c>
      <c r="L6" s="7">
        <f t="shared" si="0"/>
        <v>718666.66666666663</v>
      </c>
      <c r="M6" s="7">
        <f t="shared" si="0"/>
        <v>718666.66666666663</v>
      </c>
      <c r="N6" s="7">
        <f t="shared" si="0"/>
        <v>718666.66666666663</v>
      </c>
      <c r="O6" s="8">
        <v>8624000</v>
      </c>
    </row>
    <row r="8" spans="2:15" ht="23.1" customHeight="1" x14ac:dyDescent="0.25">
      <c r="B8" s="2" t="s">
        <v>18</v>
      </c>
    </row>
    <row r="9" spans="2:15" s="9" customFormat="1" ht="18" customHeight="1" x14ac:dyDescent="0.25"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</row>
    <row r="10" spans="2:15" ht="18" customHeight="1" x14ac:dyDescent="0.25">
      <c r="B10" s="1" t="s">
        <v>26</v>
      </c>
      <c r="C10" s="1">
        <v>608192.60940000298</v>
      </c>
      <c r="D10" s="1">
        <v>620922.31350000005</v>
      </c>
      <c r="E10" s="1">
        <v>628456.14659999998</v>
      </c>
      <c r="F10" s="1">
        <v>666843.73140000098</v>
      </c>
      <c r="G10" s="1">
        <v>733589.85870000103</v>
      </c>
      <c r="H10" s="1">
        <v>697992.66839999997</v>
      </c>
      <c r="I10" s="1">
        <v>802084.86809999996</v>
      </c>
      <c r="J10" s="1">
        <v>809967.00959999999</v>
      </c>
      <c r="K10" s="1">
        <v>906157.82189999998</v>
      </c>
      <c r="L10" s="1">
        <v>976004.35290000006</v>
      </c>
      <c r="M10" s="1">
        <v>814771.15</v>
      </c>
      <c r="N10" s="1">
        <v>790491.53370000003</v>
      </c>
      <c r="O10" s="1">
        <f>SUM(C10:N10)</f>
        <v>9055474.0642000046</v>
      </c>
    </row>
    <row r="11" spans="2:15" ht="18" customHeight="1" x14ac:dyDescent="0.25">
      <c r="B11" s="1" t="s">
        <v>23</v>
      </c>
      <c r="C11" s="1">
        <v>135581.34</v>
      </c>
      <c r="D11" s="1">
        <v>113182.38</v>
      </c>
      <c r="E11" s="1">
        <v>106837.54</v>
      </c>
      <c r="F11" s="1">
        <v>99905.32</v>
      </c>
      <c r="G11" s="1">
        <v>89161.43</v>
      </c>
      <c r="H11" s="1">
        <v>90366.16</v>
      </c>
      <c r="I11" s="1">
        <v>109923.11</v>
      </c>
      <c r="J11" s="1">
        <v>107022.05</v>
      </c>
      <c r="K11" s="1">
        <v>107683.34</v>
      </c>
      <c r="L11" s="1">
        <v>126539.86</v>
      </c>
      <c r="M11" s="1">
        <v>97676.479999999996</v>
      </c>
      <c r="N11" s="1">
        <v>99980.76</v>
      </c>
      <c r="O11" s="1">
        <f>SUM(C11:N11)</f>
        <v>1283859.77</v>
      </c>
    </row>
    <row r="12" spans="2:15" ht="18" customHeight="1" x14ac:dyDescent="0.25">
      <c r="B12" s="14" t="s">
        <v>24</v>
      </c>
      <c r="C12" s="15">
        <f t="shared" ref="C12:O12" si="1">C10+C11</f>
        <v>743773.94940000295</v>
      </c>
      <c r="D12" s="15">
        <f t="shared" si="1"/>
        <v>734104.69350000005</v>
      </c>
      <c r="E12" s="15">
        <f t="shared" si="1"/>
        <v>735293.68660000002</v>
      </c>
      <c r="F12" s="15">
        <f t="shared" si="1"/>
        <v>766749.05140000093</v>
      </c>
      <c r="G12" s="15">
        <f t="shared" si="1"/>
        <v>822751.28870000108</v>
      </c>
      <c r="H12" s="15">
        <f t="shared" si="1"/>
        <v>788358.8284</v>
      </c>
      <c r="I12" s="15">
        <f t="shared" si="1"/>
        <v>912007.97809999995</v>
      </c>
      <c r="J12" s="15">
        <f t="shared" si="1"/>
        <v>916989.05960000004</v>
      </c>
      <c r="K12" s="15">
        <f t="shared" si="1"/>
        <v>1013841.1618999999</v>
      </c>
      <c r="L12" s="15">
        <f t="shared" si="1"/>
        <v>1102544.2129000002</v>
      </c>
      <c r="M12" s="15">
        <f t="shared" si="1"/>
        <v>912447.63</v>
      </c>
      <c r="N12" s="15">
        <f t="shared" si="1"/>
        <v>890472.29370000004</v>
      </c>
      <c r="O12" s="15">
        <f t="shared" si="1"/>
        <v>10339333.834200004</v>
      </c>
    </row>
    <row r="13" spans="2:15" ht="23.1" customHeight="1" x14ac:dyDescent="0.25">
      <c r="B13" s="14"/>
      <c r="C13" s="23"/>
      <c r="D13" s="23"/>
      <c r="E13" s="23"/>
      <c r="F13" s="23"/>
      <c r="G13" s="23"/>
      <c r="H13" s="23"/>
      <c r="I13" s="23"/>
      <c r="J13" s="23"/>
      <c r="K13" s="23"/>
    </row>
    <row r="15" spans="2:15" ht="23.1" customHeight="1" x14ac:dyDescent="0.25">
      <c r="C15" s="17" t="e">
        <f>AVERAGE(Tabela3567821[[#Totals],[JAN]:[ABR]])</f>
        <v>#REF!</v>
      </c>
    </row>
    <row r="16" spans="2:15" ht="23.1" customHeight="1" x14ac:dyDescent="0.25">
      <c r="C16" s="17">
        <f>C17/12</f>
        <v>718666.66666666663</v>
      </c>
    </row>
    <row r="17" spans="3:11" ht="23.1" customHeight="1" x14ac:dyDescent="0.25">
      <c r="C17" s="17">
        <v>8624000</v>
      </c>
    </row>
    <row r="18" spans="3:11" ht="23.1" customHeight="1" x14ac:dyDescent="0.25">
      <c r="C18" s="17"/>
    </row>
    <row r="21" spans="3:11" ht="23.1" customHeight="1" x14ac:dyDescent="0.25">
      <c r="K21" s="22"/>
    </row>
    <row r="22" spans="3:11" ht="23.1" customHeight="1" x14ac:dyDescent="0.25">
      <c r="K22" s="22"/>
    </row>
  </sheetData>
  <printOptions horizontalCentered="1"/>
  <pageMargins left="0.31496062992125984" right="0.31496062992125984" top="1.3385826771653544" bottom="0.74803149606299213" header="0.31496062992125984" footer="0.51181102362204722"/>
  <pageSetup paperSize="9" scale="50" firstPageNumber="0" orientation="landscape" horizontalDpi="300" verticalDpi="300" r:id="rId1"/>
  <headerFooter>
    <oddHeader>&amp;C&amp;"Segoe UI,Normal"&amp;12&amp;G
Poder Judiciário
Tribunal de Justiça do Maranhão
Execução das Receitas</oddHeader>
  </headerFooter>
  <ignoredErrors>
    <ignoredError sqref="M11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24</vt:lpstr>
      <vt:lpstr>FERJ 24</vt:lpstr>
      <vt:lpstr>FESMAM 24</vt:lpstr>
      <vt:lpstr>FERC 24</vt:lpstr>
      <vt:lpstr>FUNSEG 24</vt:lpstr>
      <vt:lpstr>'FERC 24'!Area_de_impressao</vt:lpstr>
      <vt:lpstr>'FERJ 24'!Area_de_impressao</vt:lpstr>
      <vt:lpstr>'FESMAM 24'!Area_de_impressao</vt:lpstr>
      <vt:lpstr>'FUNSEG 24'!Area_de_impressao</vt:lpstr>
      <vt:lpstr>'TJ 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Luciano Jorge de Oliveira Borges</dc:creator>
  <dc:description/>
  <cp:lastModifiedBy>Cristiano de Jesus Sousa de Abreu</cp:lastModifiedBy>
  <cp:revision>1</cp:revision>
  <cp:lastPrinted>2025-05-30T13:56:03Z</cp:lastPrinted>
  <dcterms:created xsi:type="dcterms:W3CDTF">2017-09-20T11:11:33Z</dcterms:created>
  <dcterms:modified xsi:type="dcterms:W3CDTF">2025-05-30T13:57:37Z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