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 defaultThemeVersion="164011"/>
  <mc:AlternateContent xmlns:mc="http://schemas.openxmlformats.org/markup-compatibility/2006">
    <mc:Choice Requires="x15">
      <x15ac:absPath xmlns:x15ac="http://schemas.microsoft.com/office/spreadsheetml/2010/11/ac" url="Z:\Cristiano - Orçamento\Publicação Mensal\"/>
    </mc:Choice>
  </mc:AlternateContent>
  <bookViews>
    <workbookView xWindow="-105" yWindow="-105" windowWidth="23250" windowHeight="12450" tabRatio="841"/>
  </bookViews>
  <sheets>
    <sheet name="TJ 23" sheetId="26" r:id="rId1"/>
    <sheet name="FERJ 23" sheetId="28" r:id="rId2"/>
    <sheet name="FESMAM 23" sheetId="27" r:id="rId3"/>
    <sheet name="FERC 23" sheetId="29" r:id="rId4"/>
    <sheet name="FUNSEG 23" sheetId="30" r:id="rId5"/>
  </sheets>
  <definedNames>
    <definedName name="_xlnm.Print_Area" localSheetId="3">'FERC 23'!$B$4:$O$12</definedName>
    <definedName name="_xlnm.Print_Area" localSheetId="1">'FERJ 23'!$B$4:$O$17</definedName>
    <definedName name="_xlnm.Print_Area" localSheetId="2">'FESMAM 23'!$B$4:$O$12</definedName>
    <definedName name="_xlnm.Print_Area" localSheetId="4">'FUNSEG 23'!$B$4:$O$11</definedName>
    <definedName name="_xlnm.Print_Area" localSheetId="0">'TJ 23'!$B$5:$O$14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26" l="1"/>
  <c r="C5" i="26" s="1"/>
  <c r="F9" i="28" l="1"/>
  <c r="F17" i="28" s="1"/>
  <c r="N5" i="30"/>
  <c r="M5" i="30"/>
  <c r="L5" i="30"/>
  <c r="K5" i="30"/>
  <c r="J5" i="30"/>
  <c r="I5" i="30"/>
  <c r="H5" i="30"/>
  <c r="G5" i="30"/>
  <c r="F5" i="30"/>
  <c r="E5" i="30"/>
  <c r="D5" i="30"/>
  <c r="C5" i="30"/>
  <c r="N5" i="29"/>
  <c r="M5" i="29"/>
  <c r="L5" i="29"/>
  <c r="K5" i="29"/>
  <c r="J5" i="29"/>
  <c r="I5" i="29"/>
  <c r="H5" i="29"/>
  <c r="G5" i="29"/>
  <c r="F5" i="29"/>
  <c r="E5" i="29"/>
  <c r="D5" i="29"/>
  <c r="C5" i="29"/>
  <c r="N5" i="27"/>
  <c r="M5" i="27"/>
  <c r="L5" i="27"/>
  <c r="K5" i="27"/>
  <c r="J5" i="27"/>
  <c r="I5" i="27"/>
  <c r="H5" i="27"/>
  <c r="G5" i="27"/>
  <c r="F5" i="27"/>
  <c r="E5" i="27"/>
  <c r="D5" i="27"/>
  <c r="C5" i="27"/>
  <c r="N5" i="28"/>
  <c r="M5" i="28"/>
  <c r="L5" i="28"/>
  <c r="K5" i="28"/>
  <c r="J5" i="28"/>
  <c r="I5" i="28"/>
  <c r="H5" i="28"/>
  <c r="G5" i="28"/>
  <c r="F5" i="28"/>
  <c r="E5" i="28"/>
  <c r="D5" i="28"/>
  <c r="C5" i="28"/>
  <c r="D5" i="26"/>
  <c r="E5" i="26"/>
  <c r="F5" i="26"/>
  <c r="G5" i="26"/>
  <c r="H5" i="26"/>
  <c r="I5" i="26"/>
  <c r="J5" i="26"/>
  <c r="K5" i="26"/>
  <c r="L5" i="26"/>
  <c r="M5" i="26"/>
  <c r="N5" i="26"/>
  <c r="C15" i="30" l="1"/>
  <c r="C16" i="29"/>
  <c r="C21" i="28"/>
  <c r="Q10" i="26" l="1"/>
  <c r="Q11" i="26"/>
  <c r="I9" i="26" l="1"/>
  <c r="G11" i="30" l="1"/>
  <c r="G9" i="28"/>
  <c r="G17" i="28" s="1"/>
  <c r="G9" i="26"/>
  <c r="G14" i="26" s="1"/>
  <c r="O10" i="30" l="1"/>
  <c r="O10" i="27" l="1"/>
  <c r="O11" i="27"/>
  <c r="L9" i="29" l="1"/>
  <c r="K9" i="27" l="1"/>
  <c r="H9" i="29" l="1"/>
  <c r="O16" i="28" l="1"/>
  <c r="C9" i="26" l="1"/>
  <c r="E9" i="26"/>
  <c r="E14" i="26" s="1"/>
  <c r="I14" i="26"/>
  <c r="J9" i="26"/>
  <c r="J14" i="26" s="1"/>
  <c r="K9" i="26"/>
  <c r="K14" i="26" s="1"/>
  <c r="L9" i="26"/>
  <c r="L14" i="26" s="1"/>
  <c r="M9" i="26"/>
  <c r="M14" i="26" s="1"/>
  <c r="N9" i="26"/>
  <c r="N14" i="26" s="1"/>
  <c r="N11" i="30"/>
  <c r="J11" i="30"/>
  <c r="F11" i="30"/>
  <c r="K11" i="30"/>
  <c r="C11" i="30"/>
  <c r="M11" i="30"/>
  <c r="L11" i="30"/>
  <c r="I11" i="30"/>
  <c r="H11" i="30"/>
  <c r="E11" i="30"/>
  <c r="D11" i="30"/>
  <c r="O9" i="30"/>
  <c r="O11" i="29"/>
  <c r="N9" i="29"/>
  <c r="N12" i="29" s="1"/>
  <c r="J9" i="29"/>
  <c r="J12" i="29" s="1"/>
  <c r="F9" i="29"/>
  <c r="F12" i="29" s="1"/>
  <c r="O10" i="29"/>
  <c r="M9" i="29"/>
  <c r="M12" i="29" s="1"/>
  <c r="L12" i="29"/>
  <c r="K9" i="29"/>
  <c r="K12" i="29" s="1"/>
  <c r="I9" i="29"/>
  <c r="I12" i="29" s="1"/>
  <c r="H12" i="29"/>
  <c r="G9" i="29"/>
  <c r="G12" i="29" s="1"/>
  <c r="E9" i="29"/>
  <c r="E12" i="29" s="1"/>
  <c r="D9" i="29"/>
  <c r="D12" i="29" s="1"/>
  <c r="C9" i="29"/>
  <c r="C12" i="29" s="1"/>
  <c r="O15" i="28"/>
  <c r="O14" i="28"/>
  <c r="O13" i="28"/>
  <c r="L9" i="28"/>
  <c r="L17" i="28" s="1"/>
  <c r="H9" i="28"/>
  <c r="H17" i="28" s="1"/>
  <c r="D9" i="28"/>
  <c r="D17" i="28" s="1"/>
  <c r="O12" i="28"/>
  <c r="M9" i="28"/>
  <c r="M17" i="28" s="1"/>
  <c r="I9" i="28"/>
  <c r="I17" i="28" s="1"/>
  <c r="E9" i="28"/>
  <c r="E17" i="28" s="1"/>
  <c r="O11" i="28"/>
  <c r="N9" i="28"/>
  <c r="N17" i="28" s="1"/>
  <c r="J9" i="28"/>
  <c r="J17" i="28" s="1"/>
  <c r="O10" i="28"/>
  <c r="K9" i="28"/>
  <c r="K17" i="28" s="1"/>
  <c r="C9" i="28"/>
  <c r="C17" i="28" s="1"/>
  <c r="M9" i="27"/>
  <c r="M12" i="27" s="1"/>
  <c r="I9" i="27"/>
  <c r="I12" i="27" s="1"/>
  <c r="E9" i="27"/>
  <c r="E12" i="27" s="1"/>
  <c r="N9" i="27"/>
  <c r="N12" i="27" s="1"/>
  <c r="L9" i="27"/>
  <c r="L12" i="27" s="1"/>
  <c r="L16" i="26" s="1"/>
  <c r="K12" i="27"/>
  <c r="J9" i="27"/>
  <c r="J12" i="27" s="1"/>
  <c r="H9" i="27"/>
  <c r="H12" i="27" s="1"/>
  <c r="G9" i="27"/>
  <c r="G12" i="27" s="1"/>
  <c r="F9" i="27"/>
  <c r="F12" i="27" s="1"/>
  <c r="D9" i="27"/>
  <c r="D12" i="27" s="1"/>
  <c r="C9" i="27"/>
  <c r="C12" i="27" s="1"/>
  <c r="O13" i="26"/>
  <c r="O12" i="26"/>
  <c r="O17" i="26" s="1"/>
  <c r="H9" i="26"/>
  <c r="H14" i="26" s="1"/>
  <c r="D9" i="26"/>
  <c r="D14" i="26" s="1"/>
  <c r="O10" i="26"/>
  <c r="M16" i="26" l="1"/>
  <c r="D20" i="26"/>
  <c r="C24" i="28"/>
  <c r="N16" i="26"/>
  <c r="L19" i="28"/>
  <c r="L20" i="28" s="1"/>
  <c r="C14" i="30"/>
  <c r="C15" i="29"/>
  <c r="F9" i="26"/>
  <c r="F14" i="26" s="1"/>
  <c r="O11" i="30"/>
  <c r="O9" i="29"/>
  <c r="O12" i="29" s="1"/>
  <c r="O9" i="28"/>
  <c r="O17" i="28" s="1"/>
  <c r="O9" i="27"/>
  <c r="O12" i="27" s="1"/>
  <c r="C14" i="26"/>
  <c r="C20" i="26" s="1"/>
  <c r="O11" i="26"/>
  <c r="L21" i="28" l="1"/>
  <c r="O9" i="26"/>
  <c r="O14" i="26" s="1"/>
</calcChain>
</file>

<file path=xl/sharedStrings.xml><?xml version="1.0" encoding="utf-8"?>
<sst xmlns="http://schemas.openxmlformats.org/spreadsheetml/2006/main" count="191" uniqueCount="38">
  <si>
    <t>JAN</t>
  </si>
  <si>
    <t>Receitas</t>
  </si>
  <si>
    <t>Receitas Próprias</t>
  </si>
  <si>
    <t>Aplicação Financeira</t>
  </si>
  <si>
    <t>TOTAL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</si>
  <si>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</si>
  <si>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</si>
  <si>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</si>
  <si>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</si>
  <si>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</si>
  <si>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</si>
  <si>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</si>
  <si>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</si>
  <si>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</si>
  <si>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</si>
  <si>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</si>
  <si>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Custas Judiciais</t>
  </si>
  <si>
    <t>Custas Extrajudiciais</t>
  </si>
  <si>
    <t>Xérox</t>
  </si>
  <si>
    <t>UG: 040901 - FUNDO ESPECIAL DE MODERNIZAÇÃO E REAPARELHAMENTO DO JUDICIÁRIO</t>
  </si>
  <si>
    <t>Receita de Vale Transporte</t>
  </si>
  <si>
    <t>Exp. Econômia da Folha</t>
  </si>
  <si>
    <t>Emolumentos Extrajudiciais</t>
  </si>
  <si>
    <t>UG: 040903 - FUNDO ESPECIAL DAS SERVENTIAS DE REGISTRO CIVIL DE PESSOAS NATURAIS</t>
  </si>
  <si>
    <t>UG: 040904 - FUNDO ESPECIAL DE SEGURANÇA DA MAGISTRATURA DO ESTADO DO MARANHÃO</t>
  </si>
  <si>
    <t>UG: 040902 - FUNDO ESPECIAL DA ESCOLA SUPERIOR DA MAGISTRATURA DO ESTADO DO MARANHÃO</t>
  </si>
  <si>
    <t>Repasses Recebidos</t>
  </si>
  <si>
    <t>Custeio</t>
  </si>
  <si>
    <t>UG: 040101 - TRIBUNAL DE JUSTIÇA DO MARANHÃO</t>
  </si>
  <si>
    <t>Pessoal</t>
  </si>
  <si>
    <t>Precatórios</t>
  </si>
  <si>
    <t xml:space="preserve">  Total </t>
  </si>
  <si>
    <t>Custeio/Investimentos</t>
  </si>
  <si>
    <t>Exercício: 2024</t>
  </si>
  <si>
    <t>Leilão/Outras</t>
  </si>
  <si>
    <t>Receita Arrecadada</t>
  </si>
  <si>
    <t>Receita Orçamentária Prevista</t>
  </si>
  <si>
    <t>Orçamento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</si>
</sst>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Segoe UI"/>
      <family val="2"/>
    </font>
    <font>
      <i/>
      <sz val="10"/>
      <color theme="1"/>
      <name val="Segoe UI"/>
      <family val="2"/>
    </font>
    <font>
      <sz val="11"/>
      <color theme="1"/>
      <name val="Segoe UI"/>
      <family val="2"/>
    </font>
    <font>
      <sz val="10"/>
      <name val="Arial"/>
      <family val="2"/>
    </font>
    <font>
      <sz val="11"/>
      <color theme="0"/>
      <name val="Segoe UI"/>
      <family val="2"/>
    </font>
    <font>
      <sz val="11"/>
      <name val="Segoe UI"/>
      <family val="2"/>
    </font>
    <font>
      <sz val="11"/>
      <color rgb="FFFF0000"/>
      <name val="Segoe UI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0"/>
      <color theme="0"/>
      <name val="Segoe UI"/>
      <family val="2"/>
    </font>
    <font>
      <b/>
      <sz val="11"/>
      <color theme="0"/>
      <name val="Segoe UI"/>
      <family val="2"/>
    </font>
    <font>
      <sz val="11"/>
      <color theme="1"/>
      <name val="Segoe U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theme="9"/>
      </patternFill>
    </fill>
  </fills>
  <borders count="7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30">
    <xf numFmtId="0" fontId="0" fillId="0" borderId="0" xfId="0"/>
    <xf numFmtId="43" fontId="2" fillId="0" borderId="0" xfId="1" applyFont="1" applyAlignment="1">
      <alignment horizontal="center" vertical="center"/>
    </xf>
    <xf numFmtId="43" fontId="2" fillId="0" borderId="0" xfId="1" applyFont="1" applyAlignment="1">
      <alignment vertical="center"/>
    </xf>
    <xf numFmtId="43" fontId="2" fillId="0" borderId="0" xfId="1" applyFont="1" applyAlignment="1">
      <alignment vertical="center" wrapText="1"/>
    </xf>
    <xf numFmtId="43" fontId="2" fillId="0" borderId="0" xfId="0" applyNumberFormat="1" applyFont="1" applyAlignment="1">
      <alignment horizontal="center" vertical="center"/>
    </xf>
    <xf numFmtId="10" fontId="2" fillId="0" borderId="0" xfId="2" applyNumberFormat="1" applyFont="1" applyAlignment="1">
      <alignment vertical="center"/>
    </xf>
    <xf numFmtId="43" fontId="5" fillId="0" borderId="0" xfId="1" applyFont="1" applyAlignment="1">
      <alignment horizontal="left" vertical="center" indent="1"/>
    </xf>
    <xf numFmtId="43" fontId="3" fillId="0" borderId="0" xfId="1" applyFont="1" applyAlignment="1">
      <alignment vertical="center"/>
    </xf>
    <xf numFmtId="43" fontId="4" fillId="0" borderId="0" xfId="1" applyFont="1" applyAlignment="1">
      <alignment vertical="center"/>
    </xf>
    <xf numFmtId="43" fontId="6" fillId="0" borderId="0" xfId="1" applyFont="1" applyAlignment="1">
      <alignment vertical="center"/>
    </xf>
    <xf numFmtId="43" fontId="4" fillId="0" borderId="0" xfId="1" applyFont="1" applyFill="1" applyAlignment="1">
      <alignment vertical="center"/>
    </xf>
    <xf numFmtId="9" fontId="2" fillId="0" borderId="0" xfId="2" applyFont="1" applyAlignment="1">
      <alignment vertical="center"/>
    </xf>
    <xf numFmtId="49" fontId="8" fillId="0" borderId="0" xfId="1" applyNumberFormat="1" applyFont="1" applyAlignment="1">
      <alignment vertical="center"/>
    </xf>
    <xf numFmtId="43" fontId="8" fillId="0" borderId="0" xfId="1" applyFont="1" applyAlignment="1">
      <alignment vertical="center"/>
    </xf>
    <xf numFmtId="43" fontId="9" fillId="0" borderId="0" xfId="1" applyFont="1" applyAlignment="1">
      <alignment vertical="center"/>
    </xf>
    <xf numFmtId="43" fontId="10" fillId="0" borderId="0" xfId="1" applyFont="1" applyAlignment="1">
      <alignment vertical="center"/>
    </xf>
    <xf numFmtId="4" fontId="11" fillId="0" borderId="0" xfId="0" applyNumberFormat="1" applyFont="1"/>
    <xf numFmtId="43" fontId="4" fillId="2" borderId="0" xfId="1" applyFont="1" applyFill="1" applyAlignment="1">
      <alignment vertical="center"/>
    </xf>
    <xf numFmtId="4" fontId="12" fillId="2" borderId="0" xfId="4" applyNumberFormat="1" applyFont="1" applyFill="1" applyAlignment="1">
      <alignment vertical="center"/>
    </xf>
    <xf numFmtId="43" fontId="8" fillId="2" borderId="0" xfId="1" applyFont="1" applyFill="1" applyAlignment="1">
      <alignment vertical="center"/>
    </xf>
    <xf numFmtId="43" fontId="13" fillId="0" borderId="0" xfId="1" applyFont="1" applyAlignment="1">
      <alignment vertical="center"/>
    </xf>
    <xf numFmtId="43" fontId="14" fillId="3" borderId="1" xfId="1" applyNumberFormat="1" applyFont="1" applyFill="1" applyBorder="1" applyAlignment="1">
      <alignment horizontal="center" vertical="center"/>
    </xf>
    <xf numFmtId="43" fontId="14" fillId="3" borderId="2" xfId="1" applyNumberFormat="1" applyFont="1" applyFill="1" applyBorder="1" applyAlignment="1">
      <alignment horizontal="center" vertical="center"/>
    </xf>
    <xf numFmtId="43" fontId="14" fillId="3" borderId="3" xfId="1" applyNumberFormat="1" applyFont="1" applyFill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43" fontId="15" fillId="0" borderId="0" xfId="0" applyNumberFormat="1" applyFont="1" applyAlignment="1">
      <alignment vertical="center"/>
    </xf>
    <xf numFmtId="43" fontId="2" fillId="0" borderId="0" xfId="1" applyNumberFormat="1" applyFont="1" applyBorder="1" applyAlignment="1">
      <alignment vertical="center"/>
    </xf>
    <xf numFmtId="43" fontId="2" fillId="0" borderId="4" xfId="1" applyNumberFormat="1" applyFont="1" applyBorder="1" applyAlignment="1">
      <alignment vertical="center"/>
    </xf>
    <xf numFmtId="43" fontId="2" fillId="0" borderId="5" xfId="1" applyNumberFormat="1" applyFont="1" applyBorder="1" applyAlignment="1">
      <alignment vertical="center"/>
    </xf>
    <xf numFmtId="43" fontId="3" fillId="0" borderId="6" xfId="1" applyNumberFormat="1" applyFont="1" applyBorder="1" applyAlignment="1">
      <alignment vertical="center"/>
    </xf>
  </cellXfs>
  <cellStyles count="5">
    <cellStyle name="Normal" xfId="0" builtinId="0"/>
    <cellStyle name="Normal 4" xfId="3"/>
    <cellStyle name="Percentagem" xfId="2" builtinId="5"/>
    <cellStyle name="Vírgula" xfId="1" builtinId="3"/>
    <cellStyle name="Vírgula 2" xfId="4"/>
  </cellStyles>
  <dxfs count="1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6" name="Tabela356789101112131417" displayName="Tabela356789101112131417" ref="B8:O14" totalsRowCount="1" headerRowDxfId="154" dataDxfId="153" totalsRowDxfId="152" headerRowCellStyle="Vírgula" dataCellStyle="Vírgula" totalsRowCellStyle="Vírgula">
  <autoFilter ref="B8:O13"/>
  <tableColumns count="14">
    <tableColumn id="1" name="Receitas" totalsRowLabel="  Total " dataDxfId="151" totalsRowDxfId="69" dataCellStyle="Vírgula"/>
    <tableColumn id="2" name="JAN" totalsRowFunction="custom" dataDxfId="150" totalsRowDxfId="68" dataCellStyle="Vírgula">
      <totalsRowFormula>C9+C13</totalsRowFormula>
    </tableColumn>
    <tableColumn id="3" name="FEV" totalsRowFunction="custom" dataDxfId="149" totalsRowDxfId="67" dataCellStyle="Vírgula">
      <totalsRowFormula>D9+D13</totalsRowFormula>
    </tableColumn>
    <tableColumn id="4" name="MAR" totalsRowFunction="custom" dataDxfId="148" totalsRowDxfId="66" dataCellStyle="Vírgula">
      <totalsRowFormula>E9+E13</totalsRowFormula>
    </tableColumn>
    <tableColumn id="5" name="ABR" totalsRowFunction="custom" dataDxfId="147" totalsRowDxfId="65" dataCellStyle="Vírgula">
      <totalsRowFormula>F9+F13</totalsRowFormula>
    </tableColumn>
    <tableColumn id="6" name="MAI" totalsRowFunction="custom" dataDxfId="146" totalsRowDxfId="64" dataCellStyle="Vírgula">
      <totalsRowFormula>G9+G13</totalsRowFormula>
    </tableColumn>
    <tableColumn id="7" name="JUN" totalsRowFunction="custom" dataDxfId="145" totalsRowDxfId="63" dataCellStyle="Vírgula">
      <totalsRowFormula>H9+H13</totalsRowFormula>
    </tableColumn>
    <tableColumn id="8" name="JUL" totalsRowFunction="custom" dataDxfId="144" totalsRowDxfId="62" dataCellStyle="Vírgula">
      <totalsRowFormula>I9+I13</totalsRowFormula>
    </tableColumn>
    <tableColumn id="9" name="AGO" totalsRowFunction="custom" dataDxfId="143" totalsRowDxfId="61" dataCellStyle="Vírgula">
      <totalsRowFormula>J9+J13</totalsRowFormula>
    </tableColumn>
    <tableColumn id="14" name="SET" totalsRowFunction="custom" dataDxfId="142" totalsRowDxfId="60" dataCellStyle="Vírgula">
      <totalsRowFormula>K9+K13</totalsRowFormula>
    </tableColumn>
    <tableColumn id="10" name="OUT" totalsRowFunction="custom" dataDxfId="141" totalsRowDxfId="59" dataCellStyle="Vírgula">
      <totalsRowFormula>L9+L13</totalsRowFormula>
    </tableColumn>
    <tableColumn id="11" name="NOV" totalsRowFunction="custom" dataDxfId="140" totalsRowDxfId="58" dataCellStyle="Vírgula">
      <totalsRowFormula>M9+M13</totalsRowFormula>
    </tableColumn>
    <tableColumn id="12" name="DEZ" totalsRowFunction="custom" dataDxfId="139" totalsRowDxfId="57" dataCellStyle="Vírgula">
      <totalsRowFormula>N9+N13</totalsRowFormula>
    </tableColumn>
    <tableColumn id="13" name="TOTAL" totalsRowFunction="custom" dataDxfId="138" totalsRowDxfId="56" dataCellStyle="Vírgula">
      <calculatedColumnFormula>SUM(C9:N9)</calculatedColumnFormula>
      <totalsRowFormula>O9+O13</totalsRow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18" name="Tabela319" displayName="Tabela319" ref="B8:O17" totalsRowCount="1" headerRowDxfId="137" dataDxfId="136" totalsRowDxfId="135" headerRowCellStyle="Vírgula" dataCellStyle="Vírgula" totalsRowCellStyle="Vírgula">
  <autoFilter ref="B8:O16"/>
  <tableColumns count="14">
    <tableColumn id="1" name="Receitas" totalsRowLabel="  Total " dataDxfId="134" totalsRowDxfId="55" dataCellStyle="Vírgula"/>
    <tableColumn id="2" name="JAN" totalsRowFunction="custom" dataDxfId="133" totalsRowDxfId="54" dataCellStyle="Vírgula">
      <totalsRowFormula>C9+C13+C14+C15+C16</totalsRowFormula>
    </tableColumn>
    <tableColumn id="3" name="FEV" totalsRowFunction="custom" dataDxfId="132" totalsRowDxfId="53" dataCellStyle="Vírgula">
      <totalsRowFormula>D9+D13+D14+D15+D16</totalsRowFormula>
    </tableColumn>
    <tableColumn id="4" name="MAR" totalsRowFunction="custom" dataDxfId="131" totalsRowDxfId="52" dataCellStyle="Vírgula">
      <totalsRowFormula>E9+E13+E14+E15+E16</totalsRowFormula>
    </tableColumn>
    <tableColumn id="5" name="ABR" totalsRowFunction="custom" dataDxfId="130" totalsRowDxfId="51" dataCellStyle="Vírgula">
      <totalsRowFormula>F9+F13+F14+F15+F16</totalsRowFormula>
    </tableColumn>
    <tableColumn id="6" name="MAI" totalsRowFunction="custom" dataDxfId="129" totalsRowDxfId="50" dataCellStyle="Vírgula">
      <totalsRowFormula>G9+G13+G14+G15+G16</totalsRowFormula>
    </tableColumn>
    <tableColumn id="7" name="JUN" totalsRowFunction="custom" dataDxfId="128" totalsRowDxfId="49" dataCellStyle="Vírgula">
      <totalsRowFormula>H9+H13+H14+H15+H16</totalsRowFormula>
    </tableColumn>
    <tableColumn id="8" name="JUL" totalsRowFunction="custom" dataDxfId="127" totalsRowDxfId="48" dataCellStyle="Vírgula">
      <totalsRowFormula>I9+I13+I14+I15+I16</totalsRowFormula>
    </tableColumn>
    <tableColumn id="9" name="AGO" totalsRowFunction="custom" dataDxfId="126" totalsRowDxfId="47" dataCellStyle="Vírgula">
      <totalsRowFormula>J9+J13+J14+J15+J16</totalsRowFormula>
    </tableColumn>
    <tableColumn id="14" name="SET" totalsRowFunction="custom" dataDxfId="125" totalsRowDxfId="46" dataCellStyle="Vírgula">
      <totalsRowFormula>K9+K13+K14+K15+K16</totalsRowFormula>
    </tableColumn>
    <tableColumn id="10" name="OUT" totalsRowFunction="custom" dataDxfId="124" totalsRowDxfId="45" dataCellStyle="Vírgula">
      <totalsRowFormula>L9+L13+L14+L15+L16</totalsRowFormula>
    </tableColumn>
    <tableColumn id="11" name="NOV" totalsRowFunction="custom" dataDxfId="123" totalsRowDxfId="44" dataCellStyle="Vírgula">
      <totalsRowFormula>M9+M13+M14+M15+M16</totalsRowFormula>
    </tableColumn>
    <tableColumn id="12" name="DEZ" totalsRowFunction="custom" dataDxfId="122" totalsRowDxfId="43" dataCellStyle="Vírgula">
      <totalsRowFormula>N9+N13+N14+N15+N16</totalsRowFormula>
    </tableColumn>
    <tableColumn id="13" name="TOTAL" totalsRowFunction="custom" dataDxfId="121" totalsRowDxfId="42" dataCellStyle="Vírgula">
      <calculatedColumnFormula>SUM(C9:N9)</calculatedColumnFormula>
      <totalsRowFormula>O9+O13+O14+O15+O16</totalsRow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17" name="Tabela356789101118" displayName="Tabela356789101118" ref="B8:O12" totalsRowCount="1" headerRowDxfId="120" dataDxfId="119" totalsRowDxfId="118" headerRowCellStyle="Vírgula" dataCellStyle="Vírgula" totalsRowCellStyle="Vírgula">
  <autoFilter ref="B8:O11"/>
  <tableColumns count="14">
    <tableColumn id="1" name="Receitas" totalsRowLabel="  Total " dataDxfId="117" totalsRowDxfId="41" dataCellStyle="Vírgula"/>
    <tableColumn id="2" name="JAN" totalsRowFunction="custom" dataDxfId="116" totalsRowDxfId="40" dataCellStyle="Vírgula">
      <totalsRowFormula>C9+C11</totalsRowFormula>
    </tableColumn>
    <tableColumn id="3" name="FEV" totalsRowFunction="custom" dataDxfId="115" totalsRowDxfId="39" dataCellStyle="Vírgula">
      <totalsRowFormula>D9+D11</totalsRowFormula>
    </tableColumn>
    <tableColumn id="4" name="MAR" totalsRowFunction="custom" dataDxfId="114" totalsRowDxfId="38" dataCellStyle="Vírgula">
      <totalsRowFormula>E9+E11</totalsRowFormula>
    </tableColumn>
    <tableColumn id="5" name="ABR" totalsRowFunction="custom" dataDxfId="113" totalsRowDxfId="37" dataCellStyle="Vírgula">
      <totalsRowFormula>F9+F11</totalsRowFormula>
    </tableColumn>
    <tableColumn id="6" name="MAI" totalsRowFunction="custom" dataDxfId="112" totalsRowDxfId="36" dataCellStyle="Vírgula">
      <totalsRowFormula>G9+G11</totalsRowFormula>
    </tableColumn>
    <tableColumn id="7" name="JUN" totalsRowFunction="custom" dataDxfId="111" totalsRowDxfId="35" dataCellStyle="Vírgula">
      <totalsRowFormula>H9+H11</totalsRowFormula>
    </tableColumn>
    <tableColumn id="8" name="JUL" totalsRowFunction="custom" dataDxfId="110" totalsRowDxfId="34" dataCellStyle="Vírgula">
      <totalsRowFormula>I9+I11</totalsRowFormula>
    </tableColumn>
    <tableColumn id="9" name="AGO" totalsRowFunction="custom" dataDxfId="109" totalsRowDxfId="33" dataCellStyle="Vírgula">
      <totalsRowFormula>J9+J11</totalsRowFormula>
    </tableColumn>
    <tableColumn id="14" name="SET" totalsRowFunction="custom" dataDxfId="108" totalsRowDxfId="32" dataCellStyle="Vírgula">
      <totalsRowFormula>K9+K11</totalsRowFormula>
    </tableColumn>
    <tableColumn id="10" name="OUT" totalsRowFunction="custom" dataDxfId="107" totalsRowDxfId="31" dataCellStyle="Vírgula">
      <totalsRowFormula>L9+L11</totalsRowFormula>
    </tableColumn>
    <tableColumn id="11" name="NOV" totalsRowFunction="custom" dataDxfId="106" totalsRowDxfId="30" dataCellStyle="Vírgula">
      <totalsRowFormula>M9+M11</totalsRowFormula>
    </tableColumn>
    <tableColumn id="12" name="DEZ" totalsRowFunction="custom" dataDxfId="105" totalsRowDxfId="29" dataCellStyle="Vírgula">
      <totalsRowFormula>N9+N11</totalsRowFormula>
    </tableColumn>
    <tableColumn id="13" name="TOTAL" totalsRowFunction="custom" dataDxfId="104" totalsRowDxfId="28" dataCellStyle="Vírgula">
      <calculatedColumnFormula>SUM(C9:N9)</calculatedColumnFormula>
      <totalsRowFormula>O9+O11</totalsRowFormula>
    </tableColumn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19" name="Tabela3520" displayName="Tabela3520" ref="B8:O12" totalsRowCount="1" headerRowDxfId="103" dataDxfId="102" totalsRowDxfId="101" headerRowCellStyle="Vírgula" dataCellStyle="Vírgula" totalsRowCellStyle="Vírgula">
  <autoFilter ref="B8:O11"/>
  <tableColumns count="14">
    <tableColumn id="1" name="Receitas" totalsRowLabel="  Total " dataDxfId="100" totalsRowDxfId="27" dataCellStyle="Vírgula"/>
    <tableColumn id="2" name="JAN" totalsRowFunction="custom" dataDxfId="99" totalsRowDxfId="26" dataCellStyle="Vírgula">
      <totalsRowFormula>C9+C11</totalsRowFormula>
    </tableColumn>
    <tableColumn id="3" name="FEV" totalsRowFunction="custom" dataDxfId="98" totalsRowDxfId="25" dataCellStyle="Vírgula">
      <totalsRowFormula>D9+D11</totalsRowFormula>
    </tableColumn>
    <tableColumn id="4" name="MAR" totalsRowFunction="custom" dataDxfId="97" totalsRowDxfId="24" dataCellStyle="Vírgula">
      <totalsRowFormula>E9+E11</totalsRowFormula>
    </tableColumn>
    <tableColumn id="5" name="ABR" totalsRowFunction="custom" dataDxfId="96" totalsRowDxfId="23" dataCellStyle="Vírgula">
      <totalsRowFormula>F9+F11</totalsRowFormula>
    </tableColumn>
    <tableColumn id="6" name="MAI" totalsRowFunction="custom" dataDxfId="95" totalsRowDxfId="22" dataCellStyle="Vírgula">
      <totalsRowFormula>G9+G11</totalsRowFormula>
    </tableColumn>
    <tableColumn id="7" name="JUN" totalsRowFunction="custom" dataDxfId="94" totalsRowDxfId="21" dataCellStyle="Vírgula">
      <totalsRowFormula>H9+H11</totalsRowFormula>
    </tableColumn>
    <tableColumn id="8" name="JUL" totalsRowFunction="custom" dataDxfId="93" totalsRowDxfId="20" dataCellStyle="Vírgula">
      <totalsRowFormula>I9+I11</totalsRowFormula>
    </tableColumn>
    <tableColumn id="9" name="AGO" totalsRowFunction="custom" dataDxfId="92" totalsRowDxfId="19" dataCellStyle="Vírgula">
      <totalsRowFormula>J9+J11</totalsRowFormula>
    </tableColumn>
    <tableColumn id="14" name="SET" totalsRowFunction="custom" dataDxfId="91" totalsRowDxfId="18" dataCellStyle="Vírgula">
      <totalsRowFormula>K9+K11</totalsRowFormula>
    </tableColumn>
    <tableColumn id="10" name="OUT" totalsRowFunction="custom" dataDxfId="90" totalsRowDxfId="17" dataCellStyle="Vírgula">
      <totalsRowFormula>L9+L11</totalsRowFormula>
    </tableColumn>
    <tableColumn id="11" name="NOV" totalsRowFunction="custom" dataDxfId="89" totalsRowDxfId="16" dataCellStyle="Vírgula">
      <totalsRowFormula>M9+M11</totalsRowFormula>
    </tableColumn>
    <tableColumn id="12" name="DEZ" totalsRowFunction="custom" dataDxfId="88" totalsRowDxfId="15" dataCellStyle="Vírgula">
      <totalsRowFormula>N9+N11</totalsRowFormula>
    </tableColumn>
    <tableColumn id="13" name="TOTAL" totalsRowFunction="custom" dataDxfId="87" totalsRowDxfId="14" dataCellStyle="Vírgula">
      <calculatedColumnFormula>SUM(C9:N9)</calculatedColumnFormula>
      <totalsRowFormula>O9+O11</totalsRow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id="20" name="Tabela3567821" displayName="Tabela3567821" ref="B8:O11" totalsRowCount="1" headerRowDxfId="86" dataDxfId="85" totalsRowDxfId="84" headerRowCellStyle="Vírgula" dataCellStyle="Vírgula" totalsRowCellStyle="Vírgula">
  <autoFilter ref="B8:O10"/>
  <tableColumns count="14">
    <tableColumn id="1" name="Receitas" totalsRowLabel="  Total " dataDxfId="83" totalsRowDxfId="13" dataCellStyle="Vírgula"/>
    <tableColumn id="2" name="JAN" totalsRowFunction="custom" dataDxfId="82" totalsRowDxfId="12" dataCellStyle="Vírgula">
      <totalsRowFormula>C9+C10</totalsRowFormula>
    </tableColumn>
    <tableColumn id="3" name="FEV" totalsRowFunction="custom" dataDxfId="81" totalsRowDxfId="11" dataCellStyle="Vírgula">
      <totalsRowFormula>D9+D10</totalsRowFormula>
    </tableColumn>
    <tableColumn id="4" name="MAR" totalsRowFunction="custom" dataDxfId="80" totalsRowDxfId="10" dataCellStyle="Vírgula">
      <totalsRowFormula>E9+E10</totalsRowFormula>
    </tableColumn>
    <tableColumn id="5" name="ABR" totalsRowFunction="custom" dataDxfId="79" totalsRowDxfId="9" dataCellStyle="Vírgula">
      <totalsRowFormula>F9+F10</totalsRowFormula>
    </tableColumn>
    <tableColumn id="6" name="MAI" totalsRowFunction="custom" dataDxfId="78" totalsRowDxfId="8" dataCellStyle="Vírgula">
      <totalsRowFormula>G9+G10</totalsRowFormula>
    </tableColumn>
    <tableColumn id="7" name="JUN" totalsRowFunction="custom" dataDxfId="77" totalsRowDxfId="7" dataCellStyle="Vírgula">
      <totalsRowFormula>H9+H10</totalsRowFormula>
    </tableColumn>
    <tableColumn id="8" name="JUL" totalsRowFunction="custom" dataDxfId="76" totalsRowDxfId="6" dataCellStyle="Vírgula">
      <totalsRowFormula>I9+I10</totalsRowFormula>
    </tableColumn>
    <tableColumn id="9" name="AGO" totalsRowFunction="custom" dataDxfId="75" totalsRowDxfId="5" dataCellStyle="Vírgula">
      <totalsRowFormula>J9+J10</totalsRowFormula>
    </tableColumn>
    <tableColumn id="14" name="SET" totalsRowFunction="custom" dataDxfId="74" totalsRowDxfId="4" dataCellStyle="Vírgula">
      <totalsRowFormula>K9+K10</totalsRowFormula>
    </tableColumn>
    <tableColumn id="10" name="OUT" totalsRowFunction="custom" dataDxfId="73" totalsRowDxfId="3" dataCellStyle="Vírgula">
      <totalsRowFormula>L9+L10</totalsRowFormula>
    </tableColumn>
    <tableColumn id="11" name="NOV" totalsRowFunction="custom" dataDxfId="72" totalsRowDxfId="2" dataCellStyle="Vírgula">
      <totalsRowFormula>M9+M10</totalsRowFormula>
    </tableColumn>
    <tableColumn id="12" name="DEZ" totalsRowFunction="custom" dataDxfId="71" totalsRowDxfId="1" dataCellStyle="Vírgula">
      <totalsRowFormula>N9+N10</totalsRowFormula>
    </tableColumn>
    <tableColumn id="13" name="TOTAL" totalsRowFunction="custom" dataDxfId="70" totalsRowDxfId="0" dataCellStyle="Vírgula">
      <calculatedColumnFormula>SUM(C9:N9)</calculatedColumnFormula>
      <totalsRowFormula>O9+O10</totalsRow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6"/>
  <sheetViews>
    <sheetView showGridLines="0" tabSelected="1" zoomScale="93" zoomScaleNormal="93" workbookViewId="0">
      <pane xSplit="2" ySplit="8" topLeftCell="C9" activePane="bottomRight" state="frozen"/>
      <selection activeCell="B23" sqref="B23"/>
      <selection pane="topRight" activeCell="B23" sqref="B23"/>
      <selection pane="bottomLeft" activeCell="B23" sqref="B23"/>
      <selection pane="bottomRight" activeCell="O5" sqref="O5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11" width="19.140625" style="2" bestFit="1" customWidth="1"/>
    <col min="12" max="12" width="19.28515625" style="2" customWidth="1"/>
    <col min="13" max="13" width="18.85546875" style="2" customWidth="1"/>
    <col min="14" max="14" width="19.140625" style="2" bestFit="1" customWidth="1"/>
    <col min="15" max="15" width="21" style="2" bestFit="1" customWidth="1"/>
    <col min="16" max="16" width="9.140625" style="2"/>
    <col min="17" max="17" width="13.85546875" style="2" bestFit="1" customWidth="1"/>
    <col min="18" max="16384" width="9.140625" style="2"/>
  </cols>
  <sheetData>
    <row r="1" spans="2:17" ht="23.1" customHeight="1" x14ac:dyDescent="0.25">
      <c r="B1" s="7" t="s">
        <v>33</v>
      </c>
    </row>
    <row r="2" spans="2:17" ht="23.1" customHeight="1" x14ac:dyDescent="0.25">
      <c r="B2" s="7" t="s">
        <v>28</v>
      </c>
    </row>
    <row r="3" spans="2:17" ht="23.1" customHeight="1" x14ac:dyDescent="0.25">
      <c r="B3" s="7" t="s">
        <v>36</v>
      </c>
    </row>
    <row r="4" spans="2:17" ht="23.1" customHeight="1" x14ac:dyDescent="0.25">
      <c r="B4" s="21" t="s">
        <v>1</v>
      </c>
      <c r="C4" s="22" t="s">
        <v>0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3" t="s">
        <v>4</v>
      </c>
    </row>
    <row r="5" spans="2:17" ht="23.1" customHeight="1" x14ac:dyDescent="0.25">
      <c r="B5" s="27" t="s">
        <v>37</v>
      </c>
      <c r="C5" s="28">
        <f>$O$5/12</f>
        <v>144019666.66666666</v>
      </c>
      <c r="D5" s="28">
        <f t="shared" ref="D5:N5" si="0">$O$5/12</f>
        <v>144019666.66666666</v>
      </c>
      <c r="E5" s="28">
        <f t="shared" si="0"/>
        <v>144019666.66666666</v>
      </c>
      <c r="F5" s="28">
        <f t="shared" si="0"/>
        <v>144019666.66666666</v>
      </c>
      <c r="G5" s="28">
        <f t="shared" si="0"/>
        <v>144019666.66666666</v>
      </c>
      <c r="H5" s="28">
        <f t="shared" si="0"/>
        <v>144019666.66666666</v>
      </c>
      <c r="I5" s="28">
        <f t="shared" si="0"/>
        <v>144019666.66666666</v>
      </c>
      <c r="J5" s="28">
        <f t="shared" si="0"/>
        <v>144019666.66666666</v>
      </c>
      <c r="K5" s="28">
        <f t="shared" si="0"/>
        <v>144019666.66666666</v>
      </c>
      <c r="L5" s="28">
        <f t="shared" si="0"/>
        <v>144019666.66666666</v>
      </c>
      <c r="M5" s="28">
        <f t="shared" si="0"/>
        <v>144019666.66666666</v>
      </c>
      <c r="N5" s="28">
        <f t="shared" si="0"/>
        <v>144019666.66666666</v>
      </c>
      <c r="O5" s="29">
        <f>1699181000+29055000</f>
        <v>1728236000</v>
      </c>
    </row>
    <row r="6" spans="2:17" ht="23.1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7" ht="23.1" customHeight="1" x14ac:dyDescent="0.25">
      <c r="B7" s="7" t="s">
        <v>35</v>
      </c>
    </row>
    <row r="8" spans="2:17" s="1" customFormat="1" ht="18" customHeight="1" x14ac:dyDescent="0.25">
      <c r="B8" s="1" t="s">
        <v>1</v>
      </c>
      <c r="C8" s="1" t="s">
        <v>0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4</v>
      </c>
    </row>
    <row r="9" spans="2:17" ht="18" customHeight="1" x14ac:dyDescent="0.25">
      <c r="B9" s="2" t="s">
        <v>26</v>
      </c>
      <c r="C9" s="2">
        <f t="shared" ref="C9:N9" si="1">SUM(C10:C12)</f>
        <v>124098202.88</v>
      </c>
      <c r="D9" s="2">
        <f t="shared" si="1"/>
        <v>133595500</v>
      </c>
      <c r="E9" s="2">
        <f t="shared" si="1"/>
        <v>145595500</v>
      </c>
      <c r="F9" s="2">
        <f t="shared" si="1"/>
        <v>138744432.12</v>
      </c>
      <c r="G9" s="2">
        <f>SUM(G10:G12)</f>
        <v>149587159.91999999</v>
      </c>
      <c r="H9" s="2">
        <f t="shared" si="1"/>
        <v>135844431.99000001</v>
      </c>
      <c r="I9" s="2">
        <f>SUM(I10:I12)</f>
        <v>141744431.99000001</v>
      </c>
      <c r="J9" s="2">
        <f t="shared" si="1"/>
        <v>126744431.98999999</v>
      </c>
      <c r="K9" s="2">
        <f t="shared" si="1"/>
        <v>149587159.93000001</v>
      </c>
      <c r="L9" s="2">
        <f t="shared" si="1"/>
        <v>210108724.97</v>
      </c>
      <c r="M9" s="2">
        <f t="shared" si="1"/>
        <v>155601870.11000001</v>
      </c>
      <c r="N9" s="2">
        <f t="shared" si="1"/>
        <v>155331007.87</v>
      </c>
      <c r="O9" s="2">
        <f>SUM(C9:N9)</f>
        <v>1766582853.77</v>
      </c>
    </row>
    <row r="10" spans="2:17" s="8" customFormat="1" ht="18" customHeight="1" x14ac:dyDescent="0.25">
      <c r="B10" s="6" t="s">
        <v>32</v>
      </c>
      <c r="C10" s="8">
        <v>34821166.670000002</v>
      </c>
      <c r="D10" s="8">
        <v>34821166.670000002</v>
      </c>
      <c r="E10" s="8">
        <v>34821166.670000002</v>
      </c>
      <c r="F10" s="8">
        <v>14821166.66</v>
      </c>
      <c r="G10" s="8">
        <v>14821166.66</v>
      </c>
      <c r="H10" s="8">
        <v>14821166.66</v>
      </c>
      <c r="I10" s="8">
        <v>14821166.66</v>
      </c>
      <c r="J10" s="8">
        <v>14821166.66</v>
      </c>
      <c r="K10" s="8">
        <v>14821166.67</v>
      </c>
      <c r="L10" s="8">
        <v>14821166.670000002</v>
      </c>
      <c r="M10" s="8">
        <v>14821166.670000002</v>
      </c>
      <c r="N10" s="8">
        <v>14821166.67</v>
      </c>
      <c r="O10" s="8">
        <f>SUM(C10:N10)</f>
        <v>237853999.98999998</v>
      </c>
      <c r="Q10" s="20">
        <f>8099473.02+6721693.66</f>
        <v>14821166.68</v>
      </c>
    </row>
    <row r="11" spans="2:17" s="8" customFormat="1" ht="18" customHeight="1" x14ac:dyDescent="0.25">
      <c r="B11" s="6" t="s">
        <v>29</v>
      </c>
      <c r="C11" s="8">
        <v>77277036.209999993</v>
      </c>
      <c r="D11" s="8">
        <v>98774333.329999998</v>
      </c>
      <c r="E11" s="8">
        <v>98774333.329999998</v>
      </c>
      <c r="F11" s="8">
        <v>98774333.329999998</v>
      </c>
      <c r="G11" s="8">
        <v>98774333.329999998</v>
      </c>
      <c r="H11" s="8">
        <v>98774333.329999998</v>
      </c>
      <c r="I11" s="8">
        <v>98774333.329999998</v>
      </c>
      <c r="J11" s="8">
        <v>98774333.329999998</v>
      </c>
      <c r="K11" s="8">
        <v>98774333.329999998</v>
      </c>
      <c r="L11" s="8">
        <v>98774333.329999998</v>
      </c>
      <c r="M11" s="8">
        <v>98774333.329999998</v>
      </c>
      <c r="N11" s="8">
        <v>98774333.329999998</v>
      </c>
      <c r="O11" s="8">
        <f>SUM(C11:N11)</f>
        <v>1163794702.8400002</v>
      </c>
      <c r="Q11" s="20">
        <f>45000000+53774333.03</f>
        <v>98774333.030000001</v>
      </c>
    </row>
    <row r="12" spans="2:17" s="8" customFormat="1" ht="16.5" x14ac:dyDescent="0.25">
      <c r="B12" s="6" t="s">
        <v>30</v>
      </c>
      <c r="C12" s="8">
        <v>12000000</v>
      </c>
      <c r="D12" s="8">
        <v>0</v>
      </c>
      <c r="E12" s="8">
        <v>12000000</v>
      </c>
      <c r="F12" s="17">
        <v>25148932.130000003</v>
      </c>
      <c r="G12" s="8">
        <v>35991659.93</v>
      </c>
      <c r="H12" s="8">
        <v>22248932</v>
      </c>
      <c r="I12" s="8">
        <v>28148932</v>
      </c>
      <c r="J12" s="8">
        <v>13148932</v>
      </c>
      <c r="K12" s="8">
        <v>35991659.93</v>
      </c>
      <c r="L12" s="8">
        <v>96513224.969999999</v>
      </c>
      <c r="M12" s="8">
        <v>42006370.110000007</v>
      </c>
      <c r="N12" s="8">
        <v>41735507.870000005</v>
      </c>
      <c r="O12" s="2">
        <f>SUM(C12:N12)</f>
        <v>364934150.94000006</v>
      </c>
    </row>
    <row r="13" spans="2:17" ht="18" customHeight="1" x14ac:dyDescent="0.25">
      <c r="B13" s="2" t="s">
        <v>3</v>
      </c>
      <c r="C13" s="2">
        <v>1680251.16</v>
      </c>
      <c r="D13" s="2">
        <v>1311686.6399999999</v>
      </c>
      <c r="E13" s="2">
        <v>1855281.9</v>
      </c>
      <c r="F13" s="2">
        <v>1425789.09</v>
      </c>
      <c r="G13" s="2">
        <v>1917280.67</v>
      </c>
      <c r="H13" s="2">
        <v>1541360.9400000002</v>
      </c>
      <c r="I13" s="2">
        <v>1417258.97</v>
      </c>
      <c r="J13" s="2">
        <v>1736252.6400000001</v>
      </c>
      <c r="K13" s="2">
        <v>1452622.8399999999</v>
      </c>
      <c r="L13" s="2">
        <v>1449399.6600000001</v>
      </c>
      <c r="M13" s="2">
        <v>1257728.2600000002</v>
      </c>
      <c r="N13" s="2">
        <v>831208.3</v>
      </c>
      <c r="O13" s="2">
        <f>SUM(C13:N13)</f>
        <v>17876121.07</v>
      </c>
    </row>
    <row r="14" spans="2:17" ht="23.1" customHeight="1" x14ac:dyDescent="0.25">
      <c r="B14" s="24" t="s">
        <v>31</v>
      </c>
      <c r="C14" s="25">
        <f t="shared" ref="C14:O14" si="2">C9+C13</f>
        <v>125778454.03999999</v>
      </c>
      <c r="D14" s="25">
        <f t="shared" si="2"/>
        <v>134907186.63999999</v>
      </c>
      <c r="E14" s="25">
        <f t="shared" si="2"/>
        <v>147450781.90000001</v>
      </c>
      <c r="F14" s="25">
        <f t="shared" si="2"/>
        <v>140170221.21000001</v>
      </c>
      <c r="G14" s="25">
        <f>G9+G13</f>
        <v>151504440.58999997</v>
      </c>
      <c r="H14" s="25">
        <f t="shared" si="2"/>
        <v>137385792.93000001</v>
      </c>
      <c r="I14" s="25">
        <f t="shared" si="2"/>
        <v>143161690.96000001</v>
      </c>
      <c r="J14" s="25">
        <f t="shared" si="2"/>
        <v>128480684.63</v>
      </c>
      <c r="K14" s="25">
        <f t="shared" si="2"/>
        <v>151039782.77000001</v>
      </c>
      <c r="L14" s="25">
        <f t="shared" si="2"/>
        <v>211558124.63</v>
      </c>
      <c r="M14" s="25">
        <f t="shared" si="2"/>
        <v>156859598.37</v>
      </c>
      <c r="N14" s="25">
        <f t="shared" si="2"/>
        <v>156162216.17000002</v>
      </c>
      <c r="O14" s="25">
        <f t="shared" si="2"/>
        <v>1784458974.8399999</v>
      </c>
    </row>
    <row r="16" spans="2:17" ht="23.1" customHeight="1" x14ac:dyDescent="0.25">
      <c r="B16" s="12"/>
      <c r="C16" s="13"/>
      <c r="D16" s="13"/>
      <c r="E16" s="13"/>
      <c r="F16" s="13"/>
      <c r="G16" s="13"/>
      <c r="H16" s="14"/>
      <c r="I16" s="14"/>
      <c r="J16" s="13"/>
      <c r="K16" s="13"/>
      <c r="L16" s="13">
        <f>Tabela356789101112131417[[#Totals],[OUT]]+Tabela356789101118[[#Totals],[OUT]]+Tabela319[[#Totals],[OUT]]+Tabela3520[[#Totals],[OUT]]+Tabela3567821[[#Totals],[OUT]]</f>
        <v>242773396.11339998</v>
      </c>
      <c r="M16" s="13">
        <f>Tabela356789101112131417[[#Totals],[NOV]]+Tabela356789101118[[#Totals],[NOV]]+Tabela319[[#Totals],[NOV]]+Tabela3520[[#Totals],[NOV]]+Tabela3567821[[#Totals],[NOV]]</f>
        <v>189682954.39969999</v>
      </c>
      <c r="N16" s="13">
        <f>Tabela356789101112131417[[#Totals],[DEZ]]+Tabela356789101118[[#Totals],[DEZ]]+Tabela319[[#Totals],[DEZ]]+Tabela3520[[#Totals],[DEZ]]+Tabela3567821[[#Totals],[DEZ]]</f>
        <v>186529743.54629996</v>
      </c>
      <c r="O16" s="13">
        <v>185090000</v>
      </c>
    </row>
    <row r="17" spans="3:15" ht="23.1" customHeight="1" x14ac:dyDescent="0.25"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>
        <f>O16-O12</f>
        <v>-179844150.94000006</v>
      </c>
    </row>
    <row r="18" spans="3:15" ht="23.1" customHeight="1" x14ac:dyDescent="0.25">
      <c r="D18" s="13"/>
      <c r="E18" s="15"/>
      <c r="F18" s="13"/>
      <c r="G18" s="13"/>
      <c r="H18" s="13"/>
      <c r="I18" s="14"/>
      <c r="J18" s="13"/>
      <c r="K18" s="13"/>
      <c r="L18" s="13"/>
      <c r="M18" s="15"/>
      <c r="N18" s="13"/>
      <c r="O18" s="13"/>
    </row>
    <row r="19" spans="3:15" ht="23.1" customHeight="1" x14ac:dyDescent="0.25">
      <c r="D19" s="13"/>
      <c r="E19" s="13"/>
      <c r="F19" s="13"/>
      <c r="G19" s="13"/>
      <c r="H19" s="13"/>
      <c r="I19" s="13"/>
      <c r="J19" s="13">
        <v>39446796</v>
      </c>
      <c r="K19" s="13"/>
      <c r="L19" s="13"/>
      <c r="M19" s="13"/>
      <c r="N19" s="13"/>
      <c r="O19" s="13"/>
    </row>
    <row r="20" spans="3:15" ht="23.1" customHeight="1" x14ac:dyDescent="0.25">
      <c r="C20" s="13">
        <f>Tabela356789101112131417[[#Totals],[JAN]]+Tabela319[[#Totals],[JAN]]+Tabela356789101118[[#Totals],[JAN]]+Tabela3520[[#Totals],[JAN]]+Tabela3567821[[#Totals],[JAN]]</f>
        <v>149703927.54999998</v>
      </c>
      <c r="D20" s="13">
        <f>Tabela356789101112131417[[#Totals],[FEV]]+Tabela319[[#Totals],[FEV]]+Tabela356789101118[[#Totals],[FEV]]+Tabela3520[[#Totals],[FEV]]+Tabela3567821[[#Totals],[FEV]]</f>
        <v>156796112.00999996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184679047.99000001</v>
      </c>
    </row>
    <row r="21" spans="3:15" ht="23.1" customHeight="1" x14ac:dyDescent="0.25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3:15" ht="23.1" customHeight="1" x14ac:dyDescent="0.2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3:15" ht="23.1" customHeight="1" x14ac:dyDescent="0.25">
      <c r="C23" s="13"/>
      <c r="D23" s="13"/>
      <c r="E23" s="13"/>
      <c r="F23" s="13"/>
      <c r="G23" s="13"/>
      <c r="H23" s="13"/>
      <c r="I23" s="13"/>
      <c r="J23" s="13"/>
      <c r="K23" s="13"/>
      <c r="L23" s="16"/>
      <c r="M23" s="13"/>
      <c r="N23" s="13"/>
      <c r="O23" s="13"/>
    </row>
    <row r="24" spans="3:15" ht="23.1" customHeight="1" x14ac:dyDescent="0.25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3:15" ht="23.1" customHeight="1" x14ac:dyDescent="0.25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3:15" ht="23.1" customHeight="1" x14ac:dyDescent="0.25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</sheetData>
  <printOptions horizontalCentered="1"/>
  <pageMargins left="0.31496062992125984" right="0.31496062992125984" top="0.94488188976377963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O9 O11 O10 O13 O12" calculatedColumn="1"/>
    <ignoredError sqref="H9 C9 D9:F9 J9:N9" formulaRange="1" calculatedColumn="1"/>
  </ignoredErrors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5"/>
  <sheetViews>
    <sheetView showGridLines="0" topLeftCell="B1" zoomScaleNormal="100" workbookViewId="0">
      <pane xSplit="1" ySplit="8" topLeftCell="C9" activePane="bottomRight" state="frozen"/>
      <selection activeCell="B23" sqref="B23"/>
      <selection pane="topRight" activeCell="B23" sqref="B23"/>
      <selection pane="bottomLeft" activeCell="B23" sqref="B23"/>
      <selection pane="bottomRight" activeCell="O5" sqref="O5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7.28515625" style="2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21" style="2" bestFit="1" customWidth="1"/>
    <col min="16" max="16384" width="9.140625" style="2"/>
  </cols>
  <sheetData>
    <row r="1" spans="2:15" ht="23.1" customHeight="1" x14ac:dyDescent="0.25">
      <c r="B1" s="7" t="s">
        <v>33</v>
      </c>
    </row>
    <row r="2" spans="2:15" ht="23.1" customHeight="1" x14ac:dyDescent="0.25">
      <c r="B2" s="7" t="s">
        <v>19</v>
      </c>
    </row>
    <row r="3" spans="2:15" ht="23.1" customHeight="1" x14ac:dyDescent="0.25">
      <c r="B3" s="7" t="s">
        <v>36</v>
      </c>
    </row>
    <row r="4" spans="2:15" ht="23.1" customHeight="1" x14ac:dyDescent="0.25">
      <c r="B4" s="21" t="s">
        <v>1</v>
      </c>
      <c r="C4" s="22" t="s">
        <v>0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3" t="s">
        <v>4</v>
      </c>
    </row>
    <row r="5" spans="2:15" ht="23.1" customHeight="1" x14ac:dyDescent="0.25">
      <c r="B5" s="27" t="s">
        <v>37</v>
      </c>
      <c r="C5" s="28">
        <f>$O$5/12</f>
        <v>18436333.333333332</v>
      </c>
      <c r="D5" s="28">
        <f t="shared" ref="D5:N5" si="0">$O$5/12</f>
        <v>18436333.333333332</v>
      </c>
      <c r="E5" s="28">
        <f t="shared" si="0"/>
        <v>18436333.333333332</v>
      </c>
      <c r="F5" s="28">
        <f t="shared" si="0"/>
        <v>18436333.333333332</v>
      </c>
      <c r="G5" s="28">
        <f t="shared" si="0"/>
        <v>18436333.333333332</v>
      </c>
      <c r="H5" s="28">
        <f t="shared" si="0"/>
        <v>18436333.333333332</v>
      </c>
      <c r="I5" s="28">
        <f t="shared" si="0"/>
        <v>18436333.333333332</v>
      </c>
      <c r="J5" s="28">
        <f t="shared" si="0"/>
        <v>18436333.333333332</v>
      </c>
      <c r="K5" s="28">
        <f t="shared" si="0"/>
        <v>18436333.333333332</v>
      </c>
      <c r="L5" s="28">
        <f t="shared" si="0"/>
        <v>18436333.333333332</v>
      </c>
      <c r="M5" s="28">
        <f t="shared" si="0"/>
        <v>18436333.333333332</v>
      </c>
      <c r="N5" s="28">
        <f t="shared" si="0"/>
        <v>18436333.333333332</v>
      </c>
      <c r="O5" s="29">
        <v>221236000</v>
      </c>
    </row>
    <row r="6" spans="2:15" ht="23.1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5" ht="23.1" customHeight="1" x14ac:dyDescent="0.25">
      <c r="B7" s="7" t="s">
        <v>35</v>
      </c>
    </row>
    <row r="8" spans="2:15" s="1" customFormat="1" ht="18" customHeight="1" x14ac:dyDescent="0.25">
      <c r="B8" s="1" t="s">
        <v>1</v>
      </c>
      <c r="C8" s="1" t="s">
        <v>0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4</v>
      </c>
    </row>
    <row r="9" spans="2:15" ht="18" customHeight="1" x14ac:dyDescent="0.25">
      <c r="B9" s="2" t="s">
        <v>2</v>
      </c>
      <c r="C9" s="2">
        <f t="shared" ref="C9:N9" si="1">SUM(C10:C12)</f>
        <v>16498269.289999999</v>
      </c>
      <c r="D9" s="2">
        <f t="shared" si="1"/>
        <v>17105028.48</v>
      </c>
      <c r="E9" s="2">
        <f t="shared" si="1"/>
        <v>20804214.010000002</v>
      </c>
      <c r="F9" s="2">
        <f t="shared" si="1"/>
        <v>17983952.039999999</v>
      </c>
      <c r="G9" s="2">
        <f>SUM(G10:G12)</f>
        <v>21750473.280000001</v>
      </c>
      <c r="H9" s="2">
        <f t="shared" si="1"/>
        <v>22575205.809999999</v>
      </c>
      <c r="I9" s="2">
        <f t="shared" si="1"/>
        <v>20176061.800000001</v>
      </c>
      <c r="J9" s="2">
        <f t="shared" si="1"/>
        <v>23541651.469999999</v>
      </c>
      <c r="K9" s="2">
        <f t="shared" si="1"/>
        <v>22373908.02</v>
      </c>
      <c r="L9" s="2">
        <f t="shared" si="1"/>
        <v>22372957.780000001</v>
      </c>
      <c r="M9" s="2">
        <f t="shared" si="1"/>
        <v>23751749.990000002</v>
      </c>
      <c r="N9" s="2">
        <f t="shared" si="1"/>
        <v>21752443.209999964</v>
      </c>
      <c r="O9" s="2">
        <f t="shared" ref="O9:O15" si="2">SUM(C9:N9)</f>
        <v>250685915.18000001</v>
      </c>
    </row>
    <row r="10" spans="2:15" s="8" customFormat="1" ht="18" customHeight="1" x14ac:dyDescent="0.25">
      <c r="B10" s="6" t="s">
        <v>16</v>
      </c>
      <c r="C10" s="17">
        <v>7027725.1699999999</v>
      </c>
      <c r="D10" s="8">
        <v>9851212.0899999999</v>
      </c>
      <c r="E10" s="10">
        <v>13068931.710000001</v>
      </c>
      <c r="F10" s="8">
        <v>7657608.9100000001</v>
      </c>
      <c r="G10" s="8">
        <v>13822393.66</v>
      </c>
      <c r="H10" s="8">
        <v>13584511.279999999</v>
      </c>
      <c r="I10" s="8">
        <v>11664448.810000001</v>
      </c>
      <c r="J10" s="8">
        <v>14276935.23</v>
      </c>
      <c r="K10" s="8">
        <v>11979240.16</v>
      </c>
      <c r="L10" s="8">
        <v>12765645.58</v>
      </c>
      <c r="M10" s="8">
        <v>13393853.02</v>
      </c>
      <c r="N10" s="8">
        <v>12181368.197599979</v>
      </c>
      <c r="O10" s="8">
        <f t="shared" si="2"/>
        <v>141273873.81759998</v>
      </c>
    </row>
    <row r="11" spans="2:15" s="8" customFormat="1" ht="18" customHeight="1" x14ac:dyDescent="0.25">
      <c r="B11" s="6" t="s">
        <v>17</v>
      </c>
      <c r="C11" s="8">
        <v>9470544.1199999992</v>
      </c>
      <c r="D11" s="8">
        <v>7253816.3899999997</v>
      </c>
      <c r="E11" s="10">
        <v>7735282.2999999998</v>
      </c>
      <c r="F11" s="8">
        <v>10326343.130000001</v>
      </c>
      <c r="G11" s="8">
        <v>7928079.6200000001</v>
      </c>
      <c r="H11" s="8">
        <v>8990694.5299999993</v>
      </c>
      <c r="I11" s="8">
        <v>8511612.9900000002</v>
      </c>
      <c r="J11" s="8">
        <v>9264716.2400000002</v>
      </c>
      <c r="K11" s="8">
        <v>10394667.859999999</v>
      </c>
      <c r="L11" s="8">
        <v>9607312.1999999993</v>
      </c>
      <c r="M11" s="8">
        <v>10357896.970000001</v>
      </c>
      <c r="N11" s="8">
        <v>9571075.0123999827</v>
      </c>
      <c r="O11" s="8">
        <f t="shared" si="2"/>
        <v>109412041.36239998</v>
      </c>
    </row>
    <row r="12" spans="2:15" s="8" customFormat="1" ht="18" hidden="1" customHeight="1" x14ac:dyDescent="0.25">
      <c r="B12" s="6" t="s">
        <v>18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f t="shared" si="2"/>
        <v>0</v>
      </c>
    </row>
    <row r="13" spans="2:15" ht="18" customHeight="1" x14ac:dyDescent="0.25">
      <c r="B13" s="2" t="s">
        <v>3</v>
      </c>
      <c r="C13" s="2">
        <v>2833870.7</v>
      </c>
      <c r="D13" s="2">
        <v>2470214.79</v>
      </c>
      <c r="E13" s="2">
        <v>3301798.71</v>
      </c>
      <c r="F13" s="2">
        <v>2665737.16</v>
      </c>
      <c r="G13" s="2">
        <v>3463565.18</v>
      </c>
      <c r="H13" s="2">
        <v>3431325.85</v>
      </c>
      <c r="I13" s="2">
        <v>3459454.52</v>
      </c>
      <c r="J13" s="2">
        <v>3871582.98</v>
      </c>
      <c r="K13" s="2">
        <v>3407494.2699999996</v>
      </c>
      <c r="L13" s="2">
        <v>3514379.2199999997</v>
      </c>
      <c r="M13" s="2">
        <v>3315482.09</v>
      </c>
      <c r="N13" s="2">
        <v>3281769.81</v>
      </c>
      <c r="O13" s="2">
        <f t="shared" si="2"/>
        <v>39016675.280000001</v>
      </c>
    </row>
    <row r="14" spans="2:15" ht="18" customHeight="1" x14ac:dyDescent="0.25">
      <c r="B14" s="2" t="s">
        <v>20</v>
      </c>
      <c r="C14" s="2">
        <v>82123.61</v>
      </c>
      <c r="D14" s="2">
        <v>88878.49</v>
      </c>
      <c r="E14" s="2">
        <v>88144.48</v>
      </c>
      <c r="F14" s="2">
        <v>90018.45</v>
      </c>
      <c r="G14" s="2">
        <v>91269.87</v>
      </c>
      <c r="H14" s="2">
        <v>89362.22</v>
      </c>
      <c r="I14" s="2">
        <v>78827.009999999995</v>
      </c>
      <c r="J14" s="2">
        <v>90577.22</v>
      </c>
      <c r="K14" s="2">
        <v>93859.29</v>
      </c>
      <c r="L14" s="2">
        <v>93608.639999999999</v>
      </c>
      <c r="M14" s="2">
        <v>93025.23</v>
      </c>
      <c r="N14" s="2">
        <v>94862.57</v>
      </c>
      <c r="O14" s="2">
        <f>SUM(C14:N14)</f>
        <v>1074557.08</v>
      </c>
    </row>
    <row r="15" spans="2:15" ht="18" customHeight="1" x14ac:dyDescent="0.25">
      <c r="B15" s="3" t="s">
        <v>21</v>
      </c>
      <c r="C15" s="2">
        <v>2532659.81</v>
      </c>
      <c r="D15" s="2">
        <v>206219.16</v>
      </c>
      <c r="E15" s="2">
        <v>4637480.0999999996</v>
      </c>
      <c r="F15" s="2">
        <v>2315208.77</v>
      </c>
      <c r="G15" s="2">
        <v>2369165.21</v>
      </c>
      <c r="H15" s="2">
        <v>2384243.39</v>
      </c>
      <c r="I15" s="2">
        <v>3262218.2</v>
      </c>
      <c r="J15" s="2">
        <v>2693562.62</v>
      </c>
      <c r="K15" s="2">
        <v>2723078.62</v>
      </c>
      <c r="L15" s="2">
        <v>2720723.03</v>
      </c>
      <c r="M15" s="2">
        <v>2769970.55</v>
      </c>
      <c r="N15" s="2">
        <v>2814104.41</v>
      </c>
      <c r="O15" s="2">
        <f t="shared" si="2"/>
        <v>31428633.870000005</v>
      </c>
    </row>
    <row r="16" spans="2:15" ht="18" customHeight="1" x14ac:dyDescent="0.25">
      <c r="B16" s="2" t="s">
        <v>34</v>
      </c>
      <c r="C16" s="9">
        <v>531.72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/>
      <c r="L16" s="9">
        <v>24480.97</v>
      </c>
      <c r="M16" s="9"/>
      <c r="N16" s="9">
        <v>1350.1</v>
      </c>
      <c r="O16" s="9">
        <f>SUM(C16:N16)</f>
        <v>26362.79</v>
      </c>
    </row>
    <row r="17" spans="2:15" ht="23.1" customHeight="1" x14ac:dyDescent="0.25">
      <c r="B17" s="24" t="s">
        <v>31</v>
      </c>
      <c r="C17" s="25">
        <f t="shared" ref="C17:N17" si="3">C9+C13+C14+C15+C16</f>
        <v>21947455.129999995</v>
      </c>
      <c r="D17" s="25">
        <f t="shared" si="3"/>
        <v>19870340.919999998</v>
      </c>
      <c r="E17" s="25">
        <f t="shared" si="3"/>
        <v>28831637.300000004</v>
      </c>
      <c r="F17" s="25">
        <f>F9+F13+F14+F15+F16</f>
        <v>23054916.419999998</v>
      </c>
      <c r="G17" s="25">
        <f>G9+G13+G14+G15+G16</f>
        <v>27674473.540000003</v>
      </c>
      <c r="H17" s="25">
        <f t="shared" si="3"/>
        <v>28480137.27</v>
      </c>
      <c r="I17" s="25">
        <f>I9+I13+I14+I15+I16</f>
        <v>26976561.530000001</v>
      </c>
      <c r="J17" s="25">
        <f t="shared" si="3"/>
        <v>30197374.289999999</v>
      </c>
      <c r="K17" s="25">
        <f t="shared" si="3"/>
        <v>28598340.199999999</v>
      </c>
      <c r="L17" s="25">
        <f t="shared" si="3"/>
        <v>28726149.640000001</v>
      </c>
      <c r="M17" s="25">
        <f t="shared" si="3"/>
        <v>29930227.860000003</v>
      </c>
      <c r="N17" s="25">
        <f t="shared" si="3"/>
        <v>27944530.099999964</v>
      </c>
      <c r="O17" s="25">
        <f>O9+O13+O14+O15+O16</f>
        <v>322232144.20000005</v>
      </c>
    </row>
    <row r="18" spans="2:15" ht="23.1" customHeight="1" x14ac:dyDescent="0.25">
      <c r="F18" s="11"/>
      <c r="I18" s="5"/>
      <c r="L18" s="5"/>
    </row>
    <row r="19" spans="2:15" ht="23.1" customHeight="1" x14ac:dyDescent="0.25">
      <c r="I19" s="5"/>
      <c r="L19" s="13">
        <f>AVERAGE(Tabela319[[#Totals],[JAN]:[OUT]])</f>
        <v>26435738.624000002</v>
      </c>
    </row>
    <row r="20" spans="2:15" ht="23.1" customHeight="1" x14ac:dyDescent="0.25">
      <c r="C20" s="13"/>
      <c r="D20" s="13"/>
      <c r="L20" s="13">
        <f>L19*2</f>
        <v>52871477.248000003</v>
      </c>
    </row>
    <row r="21" spans="2:15" ht="23.1" customHeight="1" x14ac:dyDescent="0.25">
      <c r="C21" s="18">
        <f>C22/12</f>
        <v>23955666.666666668</v>
      </c>
      <c r="L21" s="13">
        <f>L20+Tabela319[[#Totals],[TOTAL]]</f>
        <v>375103621.44800007</v>
      </c>
    </row>
    <row r="22" spans="2:15" ht="23.1" customHeight="1" x14ac:dyDescent="0.25">
      <c r="C22" s="19">
        <v>287468000</v>
      </c>
    </row>
    <row r="23" spans="2:15" ht="23.1" customHeight="1" x14ac:dyDescent="0.25">
      <c r="C23" s="19"/>
      <c r="K23" s="11"/>
    </row>
    <row r="24" spans="2:15" ht="23.1" customHeight="1" x14ac:dyDescent="0.25">
      <c r="C24" s="19">
        <f>Tabela319[[#Totals],[JAN]]*12</f>
        <v>263369461.55999994</v>
      </c>
      <c r="K24" s="11"/>
    </row>
    <row r="25" spans="2:15" ht="23.1" customHeight="1" x14ac:dyDescent="0.25">
      <c r="C25" s="19"/>
    </row>
  </sheetData>
  <printOptions horizontalCentered="1"/>
  <pageMargins left="0.31496062992125984" right="0.31496062992125984" top="0.94488188976377963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C9:E9 H9:O9" formulaRange="1"/>
  </ignoredError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"/>
  <sheetViews>
    <sheetView showGridLines="0" zoomScaleNormal="100" workbookViewId="0">
      <pane xSplit="2" ySplit="8" topLeftCell="C9" activePane="bottomRight" state="frozen"/>
      <selection activeCell="B23" sqref="B23"/>
      <selection pane="topRight" activeCell="B23" sqref="B23"/>
      <selection pane="bottomLeft" activeCell="B23" sqref="B23"/>
      <selection pane="bottomRight" activeCell="O5" sqref="O5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7" t="s">
        <v>33</v>
      </c>
    </row>
    <row r="2" spans="2:15" ht="23.1" customHeight="1" x14ac:dyDescent="0.25">
      <c r="B2" s="7" t="s">
        <v>25</v>
      </c>
    </row>
    <row r="3" spans="2:15" ht="23.1" customHeight="1" x14ac:dyDescent="0.25">
      <c r="B3" s="7" t="s">
        <v>36</v>
      </c>
    </row>
    <row r="4" spans="2:15" ht="23.1" customHeight="1" x14ac:dyDescent="0.25">
      <c r="B4" s="21" t="s">
        <v>1</v>
      </c>
      <c r="C4" s="22" t="s">
        <v>0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3" t="s">
        <v>4</v>
      </c>
    </row>
    <row r="5" spans="2:15" ht="23.1" customHeight="1" x14ac:dyDescent="0.25">
      <c r="B5" s="27" t="s">
        <v>37</v>
      </c>
      <c r="C5" s="28">
        <f>$O$5/12</f>
        <v>77416.666666666672</v>
      </c>
      <c r="D5" s="28">
        <f t="shared" ref="D5:N5" si="0">$O$5/12</f>
        <v>77416.666666666672</v>
      </c>
      <c r="E5" s="28">
        <f t="shared" si="0"/>
        <v>77416.666666666672</v>
      </c>
      <c r="F5" s="28">
        <f t="shared" si="0"/>
        <v>77416.666666666672</v>
      </c>
      <c r="G5" s="28">
        <f t="shared" si="0"/>
        <v>77416.666666666672</v>
      </c>
      <c r="H5" s="28">
        <f t="shared" si="0"/>
        <v>77416.666666666672</v>
      </c>
      <c r="I5" s="28">
        <f t="shared" si="0"/>
        <v>77416.666666666672</v>
      </c>
      <c r="J5" s="28">
        <f t="shared" si="0"/>
        <v>77416.666666666672</v>
      </c>
      <c r="K5" s="28">
        <f t="shared" si="0"/>
        <v>77416.666666666672</v>
      </c>
      <c r="L5" s="28">
        <f t="shared" si="0"/>
        <v>77416.666666666672</v>
      </c>
      <c r="M5" s="28">
        <f t="shared" si="0"/>
        <v>77416.666666666672</v>
      </c>
      <c r="N5" s="28">
        <f t="shared" si="0"/>
        <v>77416.666666666672</v>
      </c>
      <c r="O5" s="29">
        <v>929000</v>
      </c>
    </row>
    <row r="6" spans="2:15" ht="11.25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5" ht="11.25" customHeight="1" x14ac:dyDescent="0.25">
      <c r="B7" s="7" t="s">
        <v>35</v>
      </c>
    </row>
    <row r="8" spans="2:15" s="1" customFormat="1" ht="18" customHeight="1" x14ac:dyDescent="0.25">
      <c r="B8" s="1" t="s">
        <v>1</v>
      </c>
      <c r="C8" s="1" t="s">
        <v>0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4</v>
      </c>
    </row>
    <row r="9" spans="2:15" ht="18" customHeight="1" x14ac:dyDescent="0.25">
      <c r="B9" s="2" t="s">
        <v>26</v>
      </c>
      <c r="C9" s="2">
        <f t="shared" ref="C9:N9" si="1">C10</f>
        <v>77416.67</v>
      </c>
      <c r="D9" s="2">
        <f t="shared" si="1"/>
        <v>77416.17</v>
      </c>
      <c r="E9" s="2">
        <f t="shared" si="1"/>
        <v>77416.17</v>
      </c>
      <c r="F9" s="2">
        <f t="shared" si="1"/>
        <v>77416.67</v>
      </c>
      <c r="G9" s="2">
        <f t="shared" si="1"/>
        <v>77416.67</v>
      </c>
      <c r="H9" s="2">
        <f t="shared" si="1"/>
        <v>77416.67</v>
      </c>
      <c r="I9" s="2">
        <f t="shared" si="1"/>
        <v>210339.17</v>
      </c>
      <c r="J9" s="2">
        <f t="shared" si="1"/>
        <v>77416.67</v>
      </c>
      <c r="K9" s="2">
        <f>K10</f>
        <v>236923.67</v>
      </c>
      <c r="L9" s="2">
        <f t="shared" si="1"/>
        <v>236923.67</v>
      </c>
      <c r="M9" s="2">
        <f t="shared" si="1"/>
        <v>250215.92</v>
      </c>
      <c r="N9" s="2">
        <f t="shared" si="1"/>
        <v>0</v>
      </c>
      <c r="O9" s="2">
        <f>SUM(C9:N9)</f>
        <v>1476318.1199999999</v>
      </c>
    </row>
    <row r="10" spans="2:15" s="8" customFormat="1" ht="18" customHeight="1" x14ac:dyDescent="0.25">
      <c r="B10" s="6" t="s">
        <v>27</v>
      </c>
      <c r="C10" s="8">
        <v>77416.67</v>
      </c>
      <c r="D10" s="8">
        <v>77416.17</v>
      </c>
      <c r="E10" s="8">
        <v>77416.17</v>
      </c>
      <c r="F10" s="8">
        <v>77416.67</v>
      </c>
      <c r="G10" s="8">
        <v>77416.67</v>
      </c>
      <c r="H10" s="8">
        <v>77416.67</v>
      </c>
      <c r="I10" s="8">
        <v>210339.17</v>
      </c>
      <c r="J10" s="8">
        <v>77416.67</v>
      </c>
      <c r="K10" s="8">
        <v>236923.67</v>
      </c>
      <c r="L10" s="8">
        <v>236923.67</v>
      </c>
      <c r="M10" s="8">
        <v>250215.92</v>
      </c>
      <c r="N10" s="8">
        <v>0</v>
      </c>
      <c r="O10" s="2">
        <f>SUM(C10:N10)</f>
        <v>1476318.1199999999</v>
      </c>
    </row>
    <row r="11" spans="2:15" ht="18" customHeight="1" x14ac:dyDescent="0.25">
      <c r="B11" s="2" t="s">
        <v>3</v>
      </c>
      <c r="C11" s="2">
        <v>10583.79</v>
      </c>
      <c r="D11" s="2">
        <v>9296.59</v>
      </c>
      <c r="E11" s="2">
        <v>12324.37</v>
      </c>
      <c r="F11" s="2">
        <v>9643.67</v>
      </c>
      <c r="G11" s="2">
        <v>11531.21</v>
      </c>
      <c r="H11" s="2">
        <v>10054.76</v>
      </c>
      <c r="I11" s="2">
        <v>9848.75</v>
      </c>
      <c r="J11" s="2">
        <v>11564.42</v>
      </c>
      <c r="K11" s="2">
        <v>9229.07</v>
      </c>
      <c r="L11" s="2">
        <v>9979.52</v>
      </c>
      <c r="M11" s="2">
        <v>9759.09</v>
      </c>
      <c r="N11" s="2">
        <v>9639.89</v>
      </c>
      <c r="O11" s="2">
        <f>SUM(C11:N11)</f>
        <v>123455.13</v>
      </c>
    </row>
    <row r="12" spans="2:15" ht="23.1" customHeight="1" x14ac:dyDescent="0.25">
      <c r="B12" s="24" t="s">
        <v>31</v>
      </c>
      <c r="C12" s="25">
        <f t="shared" ref="C12:O12" si="2">C9+C11</f>
        <v>88000.459999999992</v>
      </c>
      <c r="D12" s="25">
        <f t="shared" si="2"/>
        <v>86712.76</v>
      </c>
      <c r="E12" s="25">
        <f t="shared" si="2"/>
        <v>89740.54</v>
      </c>
      <c r="F12" s="25">
        <f t="shared" si="2"/>
        <v>87060.34</v>
      </c>
      <c r="G12" s="25">
        <f t="shared" si="2"/>
        <v>88947.88</v>
      </c>
      <c r="H12" s="25">
        <f t="shared" si="2"/>
        <v>87471.43</v>
      </c>
      <c r="I12" s="25">
        <f t="shared" si="2"/>
        <v>220187.92</v>
      </c>
      <c r="J12" s="25">
        <f t="shared" si="2"/>
        <v>88981.09</v>
      </c>
      <c r="K12" s="25">
        <f t="shared" si="2"/>
        <v>246152.74000000002</v>
      </c>
      <c r="L12" s="25">
        <f t="shared" si="2"/>
        <v>246903.19</v>
      </c>
      <c r="M12" s="25">
        <f t="shared" si="2"/>
        <v>259975.01</v>
      </c>
      <c r="N12" s="25">
        <f t="shared" si="2"/>
        <v>9639.89</v>
      </c>
      <c r="O12" s="25">
        <f t="shared" si="2"/>
        <v>1599773.25</v>
      </c>
    </row>
  </sheetData>
  <printOptions horizontalCentered="1"/>
  <pageMargins left="0.31496062992125984" right="0.31496062992125984" top="0.94488188976377963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C9:J9 L9:N9" calculatedColumn="1"/>
  </ignoredErrors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showGridLines="0" topLeftCell="B1" zoomScaleNormal="100" workbookViewId="0">
      <pane xSplit="1" ySplit="8" topLeftCell="C9" activePane="bottomRight" state="frozen"/>
      <selection activeCell="B23" sqref="B23"/>
      <selection pane="topRight" activeCell="B23" sqref="B23"/>
      <selection pane="bottomLeft" activeCell="B23" sqref="B23"/>
      <selection pane="bottomRight" activeCell="O5" sqref="O5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7" t="s">
        <v>33</v>
      </c>
    </row>
    <row r="2" spans="2:15" ht="23.1" customHeight="1" x14ac:dyDescent="0.25">
      <c r="B2" s="7" t="s">
        <v>23</v>
      </c>
    </row>
    <row r="3" spans="2:15" ht="23.1" customHeight="1" x14ac:dyDescent="0.25">
      <c r="B3" s="7" t="s">
        <v>36</v>
      </c>
    </row>
    <row r="4" spans="2:15" ht="23.1" customHeight="1" x14ac:dyDescent="0.25">
      <c r="B4" s="21" t="s">
        <v>1</v>
      </c>
      <c r="C4" s="22" t="s">
        <v>0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3" t="s">
        <v>4</v>
      </c>
    </row>
    <row r="5" spans="2:15" ht="23.1" customHeight="1" x14ac:dyDescent="0.25">
      <c r="B5" s="27" t="s">
        <v>37</v>
      </c>
      <c r="C5" s="28">
        <f>$O$5/12</f>
        <v>1243333.3333333333</v>
      </c>
      <c r="D5" s="28">
        <f t="shared" ref="D5:N5" si="0">$O$5/12</f>
        <v>1243333.3333333333</v>
      </c>
      <c r="E5" s="28">
        <f t="shared" si="0"/>
        <v>1243333.3333333333</v>
      </c>
      <c r="F5" s="28">
        <f t="shared" si="0"/>
        <v>1243333.3333333333</v>
      </c>
      <c r="G5" s="28">
        <f t="shared" si="0"/>
        <v>1243333.3333333333</v>
      </c>
      <c r="H5" s="28">
        <f t="shared" si="0"/>
        <v>1243333.3333333333</v>
      </c>
      <c r="I5" s="28">
        <f t="shared" si="0"/>
        <v>1243333.3333333333</v>
      </c>
      <c r="J5" s="28">
        <f t="shared" si="0"/>
        <v>1243333.3333333333</v>
      </c>
      <c r="K5" s="28">
        <f t="shared" si="0"/>
        <v>1243333.3333333333</v>
      </c>
      <c r="L5" s="28">
        <f t="shared" si="0"/>
        <v>1243333.3333333333</v>
      </c>
      <c r="M5" s="28">
        <f t="shared" si="0"/>
        <v>1243333.3333333333</v>
      </c>
      <c r="N5" s="28">
        <f t="shared" si="0"/>
        <v>1243333.3333333333</v>
      </c>
      <c r="O5" s="29">
        <v>14920000</v>
      </c>
    </row>
    <row r="6" spans="2:15" ht="23.1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5" ht="23.1" customHeight="1" x14ac:dyDescent="0.25">
      <c r="B7" s="7" t="s">
        <v>35</v>
      </c>
    </row>
    <row r="8" spans="2:15" s="1" customFormat="1" ht="18" customHeight="1" x14ac:dyDescent="0.25">
      <c r="B8" s="1" t="s">
        <v>1</v>
      </c>
      <c r="C8" s="1" t="s">
        <v>0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4</v>
      </c>
    </row>
    <row r="9" spans="2:15" ht="18" customHeight="1" x14ac:dyDescent="0.25">
      <c r="B9" s="2" t="s">
        <v>2</v>
      </c>
      <c r="C9" s="2">
        <f t="shared" ref="C9:N9" si="1">SUM(C10:C10)</f>
        <v>1138028.17</v>
      </c>
      <c r="D9" s="2">
        <f t="shared" si="1"/>
        <v>1217427.67</v>
      </c>
      <c r="E9" s="2">
        <f t="shared" si="1"/>
        <v>1300867.8599999996</v>
      </c>
      <c r="F9" s="2">
        <f t="shared" si="1"/>
        <v>1049341.3600000001</v>
      </c>
      <c r="G9" s="2">
        <f t="shared" si="1"/>
        <v>1548416.34</v>
      </c>
      <c r="H9" s="2">
        <f t="shared" si="1"/>
        <v>1253025.72</v>
      </c>
      <c r="I9" s="2">
        <f t="shared" si="1"/>
        <v>1277462.2199999997</v>
      </c>
      <c r="J9" s="2">
        <f t="shared" si="1"/>
        <v>1628915.4500000002</v>
      </c>
      <c r="K9" s="2">
        <f t="shared" si="1"/>
        <v>1330402.3</v>
      </c>
      <c r="L9" s="2">
        <f t="shared" si="1"/>
        <v>1366556.8599999999</v>
      </c>
      <c r="M9" s="2">
        <f t="shared" si="1"/>
        <v>1722496.38</v>
      </c>
      <c r="N9" s="2">
        <f t="shared" si="1"/>
        <v>1578384.4900000002</v>
      </c>
      <c r="O9" s="2">
        <f>SUM(C9:N9)</f>
        <v>16411324.819999998</v>
      </c>
    </row>
    <row r="10" spans="2:15" s="8" customFormat="1" ht="18" customHeight="1" x14ac:dyDescent="0.25">
      <c r="B10" s="6" t="s">
        <v>22</v>
      </c>
      <c r="C10" s="2">
        <v>1138028.17</v>
      </c>
      <c r="D10" s="2">
        <v>1217427.67</v>
      </c>
      <c r="E10" s="2">
        <v>1300867.8599999996</v>
      </c>
      <c r="F10" s="2">
        <v>1049341.3600000001</v>
      </c>
      <c r="G10" s="8">
        <v>1548416.34</v>
      </c>
      <c r="H10" s="8">
        <v>1253025.72</v>
      </c>
      <c r="I10" s="8">
        <v>1277462.2199999997</v>
      </c>
      <c r="J10" s="8">
        <v>1628915.4500000002</v>
      </c>
      <c r="K10" s="8">
        <v>1330402.3</v>
      </c>
      <c r="L10" s="8">
        <v>1366556.8599999999</v>
      </c>
      <c r="M10" s="8">
        <v>1722496.38</v>
      </c>
      <c r="N10" s="8">
        <v>1578384.4900000002</v>
      </c>
      <c r="O10" s="8">
        <f>SUM(C10:N10)</f>
        <v>16411324.819999998</v>
      </c>
    </row>
    <row r="11" spans="2:15" ht="18" customHeight="1" x14ac:dyDescent="0.25">
      <c r="B11" s="2" t="s">
        <v>3</v>
      </c>
      <c r="C11" s="2">
        <v>96843.520000000004</v>
      </c>
      <c r="D11" s="2">
        <v>65209.81</v>
      </c>
      <c r="E11" s="2">
        <v>30934.37</v>
      </c>
      <c r="F11" s="2">
        <v>28236.239999999998</v>
      </c>
      <c r="G11" s="2">
        <v>39458.44</v>
      </c>
      <c r="H11" s="2">
        <v>45506.21</v>
      </c>
      <c r="I11" s="2">
        <v>50430.11</v>
      </c>
      <c r="J11" s="2">
        <v>60784.65</v>
      </c>
      <c r="K11" s="2">
        <v>57374.369999999995</v>
      </c>
      <c r="L11" s="2">
        <v>61243.76</v>
      </c>
      <c r="M11" s="2">
        <v>63642.54</v>
      </c>
      <c r="N11" s="2">
        <v>52560.7</v>
      </c>
      <c r="O11" s="2">
        <f>SUM(C11:N11)</f>
        <v>652224.72</v>
      </c>
    </row>
    <row r="12" spans="2:15" ht="18" customHeight="1" x14ac:dyDescent="0.25">
      <c r="B12" s="24" t="s">
        <v>31</v>
      </c>
      <c r="C12" s="25">
        <f>C9+C11</f>
        <v>1234871.69</v>
      </c>
      <c r="D12" s="25">
        <f t="shared" ref="D12:O12" si="2">D9+D11</f>
        <v>1282637.48</v>
      </c>
      <c r="E12" s="25">
        <f t="shared" si="2"/>
        <v>1331802.2299999997</v>
      </c>
      <c r="F12" s="25">
        <f t="shared" si="2"/>
        <v>1077577.6000000001</v>
      </c>
      <c r="G12" s="25">
        <f>G9+G11</f>
        <v>1587874.78</v>
      </c>
      <c r="H12" s="25">
        <f t="shared" si="2"/>
        <v>1298531.93</v>
      </c>
      <c r="I12" s="25">
        <f t="shared" si="2"/>
        <v>1327892.3299999998</v>
      </c>
      <c r="J12" s="25">
        <f t="shared" si="2"/>
        <v>1689700.1</v>
      </c>
      <c r="K12" s="25">
        <f t="shared" si="2"/>
        <v>1387776.67</v>
      </c>
      <c r="L12" s="25">
        <f t="shared" si="2"/>
        <v>1427800.6199999999</v>
      </c>
      <c r="M12" s="25">
        <f t="shared" si="2"/>
        <v>1786138.92</v>
      </c>
      <c r="N12" s="25">
        <f t="shared" si="2"/>
        <v>1630945.1900000002</v>
      </c>
      <c r="O12" s="25">
        <f t="shared" si="2"/>
        <v>17063549.539999999</v>
      </c>
    </row>
    <row r="13" spans="2:15" ht="23.1" customHeight="1" x14ac:dyDescent="0.25">
      <c r="B13" s="4"/>
      <c r="C13" s="5"/>
      <c r="D13" s="5"/>
      <c r="E13" s="5"/>
      <c r="F13" s="5"/>
      <c r="G13" s="5"/>
      <c r="H13" s="5"/>
      <c r="I13" s="5"/>
      <c r="J13" s="5"/>
      <c r="K13" s="5"/>
    </row>
    <row r="15" spans="2:15" ht="23.1" customHeight="1" x14ac:dyDescent="0.25">
      <c r="C15" s="13">
        <f>AVERAGE(Tabela3520[[#Totals],[JAN]:[ABR]])</f>
        <v>1231722.25</v>
      </c>
    </row>
    <row r="16" spans="2:15" ht="23.1" customHeight="1" x14ac:dyDescent="0.25">
      <c r="C16" s="13">
        <f>C17/12</f>
        <v>1419166.6666666667</v>
      </c>
    </row>
    <row r="17" spans="3:11" ht="23.1" customHeight="1" x14ac:dyDescent="0.25">
      <c r="C17" s="13">
        <v>17030000</v>
      </c>
    </row>
    <row r="18" spans="3:11" ht="23.1" customHeight="1" x14ac:dyDescent="0.25">
      <c r="C18" s="13"/>
    </row>
    <row r="20" spans="3:11" ht="23.1" customHeight="1" x14ac:dyDescent="0.25">
      <c r="K20" s="11"/>
    </row>
    <row r="21" spans="3:11" ht="23.1" customHeight="1" x14ac:dyDescent="0.25">
      <c r="K21" s="11"/>
    </row>
  </sheetData>
  <printOptions horizontalCentered="1"/>
  <pageMargins left="0.31496062992125984" right="0.31496062992125984" top="0.94488188976377963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showGridLines="0" topLeftCell="B1" zoomScaleNormal="100" workbookViewId="0">
      <pane xSplit="1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O6" sqref="O6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7" t="s">
        <v>33</v>
      </c>
    </row>
    <row r="2" spans="2:15" ht="23.1" customHeight="1" x14ac:dyDescent="0.25">
      <c r="B2" s="7" t="s">
        <v>24</v>
      </c>
    </row>
    <row r="3" spans="2:15" ht="23.1" customHeight="1" x14ac:dyDescent="0.25">
      <c r="B3" s="7" t="s">
        <v>36</v>
      </c>
    </row>
    <row r="4" spans="2:15" ht="23.1" customHeight="1" x14ac:dyDescent="0.25">
      <c r="B4" s="21" t="s">
        <v>1</v>
      </c>
      <c r="C4" s="22" t="s">
        <v>0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3" t="s">
        <v>4</v>
      </c>
    </row>
    <row r="5" spans="2:15" ht="23.1" customHeight="1" x14ac:dyDescent="0.25">
      <c r="B5" s="27" t="s">
        <v>37</v>
      </c>
      <c r="C5" s="28">
        <f>$O$5/12</f>
        <v>325666.66666666669</v>
      </c>
      <c r="D5" s="28">
        <f t="shared" ref="D5:N5" si="0">$O$5/12</f>
        <v>325666.66666666669</v>
      </c>
      <c r="E5" s="28">
        <f t="shared" si="0"/>
        <v>325666.66666666669</v>
      </c>
      <c r="F5" s="28">
        <f t="shared" si="0"/>
        <v>325666.66666666669</v>
      </c>
      <c r="G5" s="28">
        <f t="shared" si="0"/>
        <v>325666.66666666669</v>
      </c>
      <c r="H5" s="28">
        <f t="shared" si="0"/>
        <v>325666.66666666669</v>
      </c>
      <c r="I5" s="28">
        <f t="shared" si="0"/>
        <v>325666.66666666669</v>
      </c>
      <c r="J5" s="28">
        <f t="shared" si="0"/>
        <v>325666.66666666669</v>
      </c>
      <c r="K5" s="28">
        <f t="shared" si="0"/>
        <v>325666.66666666669</v>
      </c>
      <c r="L5" s="28">
        <f t="shared" si="0"/>
        <v>325666.66666666669</v>
      </c>
      <c r="M5" s="28">
        <f t="shared" si="0"/>
        <v>325666.66666666669</v>
      </c>
      <c r="N5" s="28">
        <f t="shared" si="0"/>
        <v>325666.66666666669</v>
      </c>
      <c r="O5" s="29">
        <v>3908000</v>
      </c>
    </row>
    <row r="6" spans="2:15" ht="23.1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5" ht="23.1" customHeight="1" x14ac:dyDescent="0.25">
      <c r="B7" s="7" t="s">
        <v>35</v>
      </c>
    </row>
    <row r="8" spans="2:15" s="1" customFormat="1" ht="18" customHeight="1" x14ac:dyDescent="0.25">
      <c r="B8" s="1" t="s">
        <v>1</v>
      </c>
      <c r="C8" s="1" t="s">
        <v>0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4</v>
      </c>
    </row>
    <row r="9" spans="2:15" ht="18" customHeight="1" x14ac:dyDescent="0.25">
      <c r="B9" s="2" t="s">
        <v>2</v>
      </c>
      <c r="C9" s="2">
        <v>494948.08</v>
      </c>
      <c r="D9" s="2">
        <v>513150.85</v>
      </c>
      <c r="E9" s="2">
        <v>624126.42029999953</v>
      </c>
      <c r="F9" s="2">
        <v>539518.5612</v>
      </c>
      <c r="G9" s="2">
        <v>652514.19840000011</v>
      </c>
      <c r="H9" s="2">
        <v>677256.17429999996</v>
      </c>
      <c r="I9" s="2">
        <v>605281.85400000063</v>
      </c>
      <c r="J9" s="2">
        <v>706249.54409999901</v>
      </c>
      <c r="K9" s="2">
        <v>671217.24060000002</v>
      </c>
      <c r="L9" s="2">
        <v>671188.73340000061</v>
      </c>
      <c r="M9" s="2">
        <v>712552.49969999993</v>
      </c>
      <c r="N9" s="2">
        <v>652573.29629999876</v>
      </c>
      <c r="O9" s="2">
        <f>SUM(C9:N9)</f>
        <v>7520577.4522999981</v>
      </c>
    </row>
    <row r="10" spans="2:15" ht="18" customHeight="1" x14ac:dyDescent="0.25">
      <c r="B10" s="2" t="s">
        <v>3</v>
      </c>
      <c r="C10" s="2">
        <v>160198.15</v>
      </c>
      <c r="D10" s="2">
        <v>136083.35999999999</v>
      </c>
      <c r="E10" s="2">
        <v>175346.86</v>
      </c>
      <c r="F10" s="2">
        <v>139941.85</v>
      </c>
      <c r="G10" s="2">
        <v>165553.21</v>
      </c>
      <c r="H10" s="2">
        <v>129881.91</v>
      </c>
      <c r="I10" s="2">
        <v>135339.07</v>
      </c>
      <c r="J10" s="2">
        <v>154293.9</v>
      </c>
      <c r="K10" s="2">
        <v>139462.76999999999</v>
      </c>
      <c r="L10" s="2">
        <v>143229.29999999999</v>
      </c>
      <c r="M10" s="2">
        <v>134461.74</v>
      </c>
      <c r="N10" s="2">
        <v>129838.9</v>
      </c>
      <c r="O10" s="2">
        <f>SUM(C10:N10)</f>
        <v>1743631.0199999998</v>
      </c>
    </row>
    <row r="11" spans="2:15" ht="18" customHeight="1" x14ac:dyDescent="0.25">
      <c r="B11" s="24" t="s">
        <v>31</v>
      </c>
      <c r="C11" s="25">
        <f t="shared" ref="C11:O11" si="1">C9+C10</f>
        <v>655146.23</v>
      </c>
      <c r="D11" s="25">
        <f t="shared" si="1"/>
        <v>649234.21</v>
      </c>
      <c r="E11" s="25">
        <f t="shared" si="1"/>
        <v>799473.28029999952</v>
      </c>
      <c r="F11" s="25">
        <f t="shared" si="1"/>
        <v>679460.41119999997</v>
      </c>
      <c r="G11" s="25">
        <f>G9+G10</f>
        <v>818067.40840000007</v>
      </c>
      <c r="H11" s="25">
        <f t="shared" si="1"/>
        <v>807138.08429999999</v>
      </c>
      <c r="I11" s="25">
        <f t="shared" si="1"/>
        <v>740620.92400000058</v>
      </c>
      <c r="J11" s="25">
        <f t="shared" si="1"/>
        <v>860543.44409999903</v>
      </c>
      <c r="K11" s="25">
        <f t="shared" si="1"/>
        <v>810680.01060000004</v>
      </c>
      <c r="L11" s="25">
        <f t="shared" si="1"/>
        <v>814418.03340000054</v>
      </c>
      <c r="M11" s="25">
        <f t="shared" si="1"/>
        <v>847014.23969999992</v>
      </c>
      <c r="N11" s="25">
        <f t="shared" si="1"/>
        <v>782412.19629999879</v>
      </c>
      <c r="O11" s="25">
        <f t="shared" si="1"/>
        <v>9264208.4722999986</v>
      </c>
    </row>
    <row r="12" spans="2:15" ht="23.1" customHeight="1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</row>
    <row r="14" spans="2:15" ht="23.1" customHeight="1" x14ac:dyDescent="0.25">
      <c r="C14" s="13">
        <f>AVERAGE(Tabela3567821[[#Totals],[JAN]:[ABR]])</f>
        <v>695828.5328749998</v>
      </c>
    </row>
    <row r="15" spans="2:15" ht="23.1" customHeight="1" x14ac:dyDescent="0.25">
      <c r="C15" s="13">
        <f>C16/12</f>
        <v>718666.66666666663</v>
      </c>
    </row>
    <row r="16" spans="2:15" ht="23.1" customHeight="1" x14ac:dyDescent="0.25">
      <c r="C16" s="13">
        <v>8624000</v>
      </c>
    </row>
    <row r="17" spans="3:11" ht="23.1" customHeight="1" x14ac:dyDescent="0.25">
      <c r="C17" s="13"/>
    </row>
    <row r="20" spans="3:11" ht="23.1" customHeight="1" x14ac:dyDescent="0.25">
      <c r="K20" s="11"/>
    </row>
    <row r="21" spans="3:11" ht="23.1" customHeight="1" x14ac:dyDescent="0.25">
      <c r="K21" s="11"/>
    </row>
  </sheetData>
  <printOptions horizontalCentered="1"/>
  <pageMargins left="0.31496062992125984" right="0.31496062992125984" top="0.94488188976377963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5</vt:i4>
      </vt:variant>
    </vt:vector>
  </HeadingPairs>
  <TitlesOfParts>
    <vt:vector size="10" baseType="lpstr">
      <vt:lpstr>TJ 23</vt:lpstr>
      <vt:lpstr>FERJ 23</vt:lpstr>
      <vt:lpstr>FESMAM 23</vt:lpstr>
      <vt:lpstr>FERC 23</vt:lpstr>
      <vt:lpstr>FUNSEG 23</vt:lpstr>
      <vt:lpstr>'FERC 23'!Área_de_Impressão</vt:lpstr>
      <vt:lpstr>'FERJ 23'!Área_de_Impressão</vt:lpstr>
      <vt:lpstr>'FESMAM 23'!Área_de_Impressão</vt:lpstr>
      <vt:lpstr>'FUNSEG 23'!Área_de_Impressão</vt:lpstr>
      <vt:lpstr>'TJ 23'!Área_de_Impressão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Jorge de Oliveira Borges</dc:creator>
  <cp:lastModifiedBy>Cristiano de Jesus Sousa de Abreu</cp:lastModifiedBy>
  <cp:lastPrinted>2023-12-12T12:29:23Z</cp:lastPrinted>
  <dcterms:created xsi:type="dcterms:W3CDTF">2017-09-20T11:11:33Z</dcterms:created>
  <dcterms:modified xsi:type="dcterms:W3CDTF">2024-05-13T12:03:40Z</dcterms:modified>
</cp:coreProperties>
</file>