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DeTrabalho"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 tabRatio="841"/>
  </bookViews>
  <sheets>
    <sheet name="TJ 23" sheetId="26" r:id="rId1"/>
    <sheet name="FERJ 23" sheetId="28" r:id="rId2"/>
    <sheet name="FESMAM 23" sheetId="27" r:id="rId3"/>
    <sheet name="FERC 23" sheetId="29" r:id="rId4"/>
    <sheet name="FUNSEG 23" sheetId="30" r:id="rId5"/>
  </sheets>
  <definedNames>
    <definedName name="_xlnm.Print_Area" localSheetId="3">'FERC 23'!$B$2:$O$9</definedName>
    <definedName name="_xlnm.Print_Area" localSheetId="1">'FERJ 23'!$B$2:$O$14</definedName>
    <definedName name="_xlnm.Print_Area" localSheetId="2">'FESMAM 23'!$B$2:$O$9</definedName>
    <definedName name="_xlnm.Print_Area" localSheetId="4">'FUNSEG 23'!$B$2:$O$8</definedName>
    <definedName name="_xlnm.Print_Area" localSheetId="0">'TJ 23'!$B$2:$O$11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26" l="1"/>
  <c r="M9" i="26" l="1"/>
  <c r="M8" i="26"/>
  <c r="M7" i="26"/>
  <c r="L7" i="26" l="1"/>
  <c r="K7" i="26"/>
  <c r="L16" i="28" l="1"/>
  <c r="L17" i="28" s="1"/>
  <c r="L9" i="26" l="1"/>
  <c r="L8" i="26" l="1"/>
  <c r="J9" i="26" l="1"/>
  <c r="K9" i="26" l="1"/>
  <c r="K8" i="26"/>
  <c r="J7" i="26"/>
  <c r="I7" i="26" l="1"/>
  <c r="I6" i="26" s="1"/>
  <c r="H9" i="26" l="1"/>
  <c r="H7" i="26"/>
  <c r="G7" i="26"/>
  <c r="G8" i="30" l="1"/>
  <c r="G6" i="28"/>
  <c r="G14" i="28" s="1"/>
  <c r="G9" i="26"/>
  <c r="G6" i="26" s="1"/>
  <c r="G11" i="26" s="1"/>
  <c r="F9" i="26" l="1"/>
  <c r="F7" i="26"/>
  <c r="E7" i="26" l="1"/>
  <c r="E8" i="26"/>
  <c r="D7" i="26" l="1"/>
  <c r="C7" i="26" l="1"/>
  <c r="C8" i="26"/>
  <c r="C9" i="26" l="1"/>
  <c r="O7" i="30" l="1"/>
  <c r="O7" i="27" l="1"/>
  <c r="O12" i="27" s="1"/>
  <c r="O8" i="27"/>
  <c r="L6" i="29" l="1"/>
  <c r="K6" i="27" l="1"/>
  <c r="H6" i="29" l="1"/>
  <c r="O13" i="28" l="1"/>
  <c r="C6" i="26" l="1"/>
  <c r="E6" i="26"/>
  <c r="E11" i="26" s="1"/>
  <c r="I11" i="26"/>
  <c r="J6" i="26"/>
  <c r="J11" i="26" s="1"/>
  <c r="K6" i="26"/>
  <c r="K11" i="26" s="1"/>
  <c r="L6" i="26"/>
  <c r="L11" i="26" s="1"/>
  <c r="M6" i="26"/>
  <c r="M11" i="26" s="1"/>
  <c r="N6" i="26"/>
  <c r="N11" i="26" s="1"/>
  <c r="N13" i="26" s="1"/>
  <c r="N8" i="30"/>
  <c r="J8" i="30"/>
  <c r="F8" i="30"/>
  <c r="K8" i="30"/>
  <c r="C8" i="30"/>
  <c r="M8" i="30"/>
  <c r="L8" i="30"/>
  <c r="I8" i="30"/>
  <c r="H8" i="30"/>
  <c r="E8" i="30"/>
  <c r="D8" i="30"/>
  <c r="O6" i="30"/>
  <c r="O8" i="29"/>
  <c r="N6" i="29"/>
  <c r="N9" i="29" s="1"/>
  <c r="J6" i="29"/>
  <c r="J9" i="29" s="1"/>
  <c r="F6" i="29"/>
  <c r="F9" i="29" s="1"/>
  <c r="O7" i="29"/>
  <c r="M6" i="29"/>
  <c r="M9" i="29" s="1"/>
  <c r="L9" i="29"/>
  <c r="K6" i="29"/>
  <c r="K9" i="29" s="1"/>
  <c r="I6" i="29"/>
  <c r="I9" i="29" s="1"/>
  <c r="H9" i="29"/>
  <c r="G6" i="29"/>
  <c r="G9" i="29" s="1"/>
  <c r="E6" i="29"/>
  <c r="E9" i="29" s="1"/>
  <c r="D6" i="29"/>
  <c r="D9" i="29" s="1"/>
  <c r="C6" i="29"/>
  <c r="C9" i="29" s="1"/>
  <c r="O12" i="28"/>
  <c r="O11" i="28"/>
  <c r="O10" i="28"/>
  <c r="L6" i="28"/>
  <c r="L14" i="28" s="1"/>
  <c r="H6" i="28"/>
  <c r="H14" i="28" s="1"/>
  <c r="D6" i="28"/>
  <c r="D14" i="28" s="1"/>
  <c r="O9" i="28"/>
  <c r="M6" i="28"/>
  <c r="M14" i="28" s="1"/>
  <c r="I6" i="28"/>
  <c r="I14" i="28" s="1"/>
  <c r="E6" i="28"/>
  <c r="E14" i="28" s="1"/>
  <c r="O8" i="28"/>
  <c r="N6" i="28"/>
  <c r="N14" i="28" s="1"/>
  <c r="J6" i="28"/>
  <c r="J14" i="28" s="1"/>
  <c r="F6" i="28"/>
  <c r="F14" i="28" s="1"/>
  <c r="O7" i="28"/>
  <c r="K6" i="28"/>
  <c r="K14" i="28" s="1"/>
  <c r="C6" i="28"/>
  <c r="C14" i="28" s="1"/>
  <c r="M6" i="27"/>
  <c r="M9" i="27" s="1"/>
  <c r="M13" i="26" s="1"/>
  <c r="I6" i="27"/>
  <c r="I9" i="27" s="1"/>
  <c r="E6" i="27"/>
  <c r="E9" i="27" s="1"/>
  <c r="N6" i="27"/>
  <c r="N9" i="27" s="1"/>
  <c r="L6" i="27"/>
  <c r="L9" i="27" s="1"/>
  <c r="L13" i="26" s="1"/>
  <c r="K9" i="27"/>
  <c r="J6" i="27"/>
  <c r="J9" i="27" s="1"/>
  <c r="H6" i="27"/>
  <c r="H9" i="27" s="1"/>
  <c r="G6" i="27"/>
  <c r="G9" i="27" s="1"/>
  <c r="F6" i="27"/>
  <c r="F9" i="27" s="1"/>
  <c r="D6" i="27"/>
  <c r="D9" i="27" s="1"/>
  <c r="C6" i="27"/>
  <c r="C9" i="27" s="1"/>
  <c r="O10" i="26"/>
  <c r="O9" i="26"/>
  <c r="O14" i="26" s="1"/>
  <c r="H6" i="26"/>
  <c r="H11" i="26" s="1"/>
  <c r="D6" i="26"/>
  <c r="D11" i="26" s="1"/>
  <c r="O7" i="26"/>
  <c r="C11" i="30" l="1"/>
  <c r="C12" i="29"/>
  <c r="C13" i="29" s="1"/>
  <c r="F6" i="26"/>
  <c r="F11" i="26" s="1"/>
  <c r="O8" i="30"/>
  <c r="O6" i="29"/>
  <c r="O9" i="29" s="1"/>
  <c r="O6" i="28"/>
  <c r="O14" i="28" s="1"/>
  <c r="L18" i="28" s="1"/>
  <c r="O6" i="27"/>
  <c r="O9" i="27" s="1"/>
  <c r="C11" i="26"/>
  <c r="O8" i="26"/>
  <c r="O6" i="26" l="1"/>
  <c r="O11" i="26" s="1"/>
</calcChain>
</file>

<file path=xl/sharedStrings.xml><?xml version="1.0" encoding="utf-8"?>
<sst xmlns="http://schemas.openxmlformats.org/spreadsheetml/2006/main" count="106" uniqueCount="35">
  <si>
    <t>JAN</t>
  </si>
  <si>
    <t>Receitas</t>
  </si>
  <si>
    <t>Receitas Próprias</t>
  </si>
  <si>
    <t>Aplicação Financeira</t>
  </si>
  <si>
    <t>TOTAL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</si>
  <si>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</si>
  <si>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</si>
  <si>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</si>
  <si>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</si>
  <si>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</si>
  <si>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</si>
  <si>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</si>
  <si>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</si>
  <si>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</si>
  <si>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</si>
  <si>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</si>
  <si>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Custas Judiciais</t>
  </si>
  <si>
    <t>Custas Extrajudiciais</t>
  </si>
  <si>
    <t>Xérox</t>
  </si>
  <si>
    <t>UG: 040901 - FUNDO ESPECIAL DE MODERNIZAÇÃO E REAPARELHAMENTO DO JUDICIÁRIO</t>
  </si>
  <si>
    <t>Receita de Vale Transporte</t>
  </si>
  <si>
    <t>Exp. Econômia da Folha</t>
  </si>
  <si>
    <t>Emolumentos Extrajudiciais</t>
  </si>
  <si>
    <t>UG: 040903 - FUNDO ESPECIAL DAS SERVENTIAS DE REGISTRO CIVIL DE PESSOAS NATURAIS</t>
  </si>
  <si>
    <t>UG: 040904 - FUNDO ESPECIAL DE SEGURANÇA DA MAGISTRATURA DO ESTADO DO MARANHÃO</t>
  </si>
  <si>
    <t>UG: 040902 - FUNDO ESPECIAL DA ESCOLA SUPERIOR DA MAGISTRATURA DO ESTADO DO MARANHÃO</t>
  </si>
  <si>
    <t>Repasses Recebidos</t>
  </si>
  <si>
    <t>Custeio</t>
  </si>
  <si>
    <t>UG: 040101 - TRIBUNAL DE JUSTIÇA DO MARANHÃO</t>
  </si>
  <si>
    <t>Pessoal</t>
  </si>
  <si>
    <t>Precatórios</t>
  </si>
  <si>
    <t xml:space="preserve">  Total </t>
  </si>
  <si>
    <t>Leilão</t>
  </si>
  <si>
    <t>Exercício: 2023</t>
  </si>
  <si>
    <t>Custeio/Investimentos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</si>
</sst>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Segoe UI"/>
      <family val="2"/>
    </font>
    <font>
      <i/>
      <sz val="10"/>
      <color theme="1"/>
      <name val="Segoe UI"/>
      <family val="2"/>
    </font>
    <font>
      <sz val="11"/>
      <color theme="1"/>
      <name val="Segoe UI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Segoe UI"/>
      <family val="2"/>
    </font>
    <font>
      <sz val="11"/>
      <name val="Segoe UI"/>
      <family val="2"/>
    </font>
    <font>
      <sz val="11"/>
      <color rgb="FFFF0000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21">
    <xf numFmtId="0" fontId="0" fillId="0" borderId="0" xfId="0"/>
    <xf numFmtId="43" fontId="2" fillId="0" borderId="0" xfId="1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center" vertical="center"/>
    </xf>
    <xf numFmtId="10" fontId="2" fillId="0" borderId="0" xfId="2" applyNumberFormat="1" applyFont="1" applyAlignment="1">
      <alignment vertical="center"/>
    </xf>
    <xf numFmtId="43" fontId="5" fillId="0" borderId="0" xfId="1" applyFont="1" applyAlignment="1">
      <alignment horizontal="left" vertical="center" indent="1"/>
    </xf>
    <xf numFmtId="43" fontId="3" fillId="0" borderId="0" xfId="1" applyFont="1" applyAlignment="1">
      <alignment vertical="center"/>
    </xf>
    <xf numFmtId="43" fontId="4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4" fillId="0" borderId="0" xfId="1" applyFont="1" applyFill="1" applyAlignment="1">
      <alignment vertical="center"/>
    </xf>
    <xf numFmtId="9" fontId="2" fillId="0" borderId="0" xfId="2" applyFont="1" applyAlignment="1">
      <alignment vertical="center"/>
    </xf>
    <xf numFmtId="4" fontId="8" fillId="0" borderId="0" xfId="4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3" fontId="9" fillId="0" borderId="0" xfId="1" applyFont="1" applyAlignment="1">
      <alignment vertical="center"/>
    </xf>
    <xf numFmtId="43" fontId="10" fillId="0" borderId="0" xfId="1" applyFont="1" applyAlignment="1">
      <alignment vertical="center"/>
    </xf>
    <xf numFmtId="43" fontId="11" fillId="0" borderId="0" xfId="1" applyFont="1" applyAlignment="1">
      <alignment vertical="center"/>
    </xf>
    <xf numFmtId="4" fontId="12" fillId="0" borderId="0" xfId="0" applyNumberFormat="1" applyFont="1"/>
    <xf numFmtId="43" fontId="4" fillId="2" borderId="0" xfId="1" applyFont="1" applyFill="1" applyAlignment="1">
      <alignment vertical="center"/>
    </xf>
    <xf numFmtId="43" fontId="13" fillId="0" borderId="0" xfId="0" applyNumberFormat="1" applyFont="1" applyAlignment="1">
      <alignment horizontal="center" vertical="center"/>
    </xf>
    <xf numFmtId="43" fontId="13" fillId="0" borderId="0" xfId="0" applyNumberFormat="1" applyFont="1" applyAlignment="1">
      <alignment vertical="center"/>
    </xf>
  </cellXfs>
  <cellStyles count="5">
    <cellStyle name="Normal" xfId="0" builtinId="0"/>
    <cellStyle name="Normal 4" xfId="3"/>
    <cellStyle name="Percentagem" xfId="2" builtinId="5"/>
    <cellStyle name="Vírgula" xfId="1" builtinId="3"/>
    <cellStyle name="Vírgula 2" xfId="4"/>
  </cellStyles>
  <dxfs count="15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numFmt numFmtId="35" formatCode="_-* #,##0.00_-;\-* #,##0.00_-;_-* &quot;-&quot;??_-;_-@_-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000000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Segoe UI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6" name="Tabela356789101112131417" displayName="Tabela356789101112131417" ref="B5:O11" totalsRowCount="1" headerRowDxfId="154" dataDxfId="153" totalsRowDxfId="152" headerRowCellStyle="Vírgula" dataCellStyle="Vírgula" totalsRowCellStyle="Vírgula">
  <autoFilter ref="B5:O10"/>
  <tableColumns count="14">
    <tableColumn id="1" name="Receitas" totalsRowLabel="  Total " dataDxfId="151" totalsRowDxfId="150" dataCellStyle="Vírgula"/>
    <tableColumn id="2" name="JAN" totalsRowFunction="custom" dataDxfId="149" totalsRowDxfId="148" dataCellStyle="Vírgula">
      <totalsRowFormula>C6+C10</totalsRowFormula>
    </tableColumn>
    <tableColumn id="3" name="FEV" totalsRowFunction="custom" dataDxfId="147" totalsRowDxfId="146" dataCellStyle="Vírgula">
      <totalsRowFormula>D6+D10</totalsRowFormula>
    </tableColumn>
    <tableColumn id="4" name="MAR" totalsRowFunction="custom" dataDxfId="145" totalsRowDxfId="144" dataCellStyle="Vírgula">
      <totalsRowFormula>E6+E10</totalsRowFormula>
    </tableColumn>
    <tableColumn id="5" name="ABR" totalsRowFunction="custom" dataDxfId="143" totalsRowDxfId="142" dataCellStyle="Vírgula">
      <totalsRowFormula>F6+F10</totalsRowFormula>
    </tableColumn>
    <tableColumn id="6" name="MAI" totalsRowFunction="custom" dataDxfId="141" totalsRowDxfId="140" dataCellStyle="Vírgula">
      <totalsRowFormula>G6+G10</totalsRowFormula>
    </tableColumn>
    <tableColumn id="7" name="JUN" totalsRowFunction="custom" dataDxfId="139" totalsRowDxfId="138" dataCellStyle="Vírgula">
      <totalsRowFormula>H6+H10</totalsRowFormula>
    </tableColumn>
    <tableColumn id="8" name="JUL" totalsRowFunction="custom" dataDxfId="137" totalsRowDxfId="136" dataCellStyle="Vírgula">
      <totalsRowFormula>I6+I10</totalsRowFormula>
    </tableColumn>
    <tableColumn id="9" name="AGO" totalsRowFunction="custom" dataDxfId="135" totalsRowDxfId="134" dataCellStyle="Vírgula">
      <totalsRowFormula>J6+J10</totalsRowFormula>
    </tableColumn>
    <tableColumn id="14" name="SET" totalsRowFunction="custom" dataDxfId="133" totalsRowDxfId="132" dataCellStyle="Vírgula">
      <totalsRowFormula>K6+K10</totalsRowFormula>
    </tableColumn>
    <tableColumn id="10" name="OUT" totalsRowFunction="custom" dataDxfId="131" totalsRowDxfId="130" dataCellStyle="Vírgula">
      <totalsRowFormula>L6+L10</totalsRowFormula>
    </tableColumn>
    <tableColumn id="11" name="NOV" totalsRowFunction="custom" dataDxfId="129" totalsRowDxfId="128" dataCellStyle="Vírgula">
      <totalsRowFormula>M6+M10</totalsRowFormula>
    </tableColumn>
    <tableColumn id="12" name="DEZ" totalsRowFunction="custom" dataDxfId="127" totalsRowDxfId="126" dataCellStyle="Vírgula">
      <totalsRowFormula>N6+N10</totalsRowFormula>
    </tableColumn>
    <tableColumn id="13" name="TOTAL" totalsRowFunction="custom" dataDxfId="125" totalsRowDxfId="124" dataCellStyle="Vírgula">
      <calculatedColumnFormula>SUM(C6:N6)</calculatedColumnFormula>
      <totalsRowFormula>O6+O10</totalsRowFormula>
    </tableColumn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18" name="Tabela319" displayName="Tabela319" ref="B5:O14" totalsRowCount="1" headerRowDxfId="123" dataDxfId="122" totalsRowDxfId="121" headerRowCellStyle="Vírgula" dataCellStyle="Vírgula" totalsRowCellStyle="Vírgula">
  <autoFilter ref="B5:O13"/>
  <tableColumns count="14">
    <tableColumn id="1" name="Receitas" totalsRowLabel="  Total " dataDxfId="120" totalsRowDxfId="119" dataCellStyle="Vírgula"/>
    <tableColumn id="2" name="JAN" totalsRowFunction="custom" dataDxfId="118" totalsRowDxfId="117" dataCellStyle="Vírgula">
      <totalsRowFormula>C6+C10+C11+C12+C13</totalsRowFormula>
    </tableColumn>
    <tableColumn id="3" name="FEV" totalsRowFunction="custom" dataDxfId="116" totalsRowDxfId="115" dataCellStyle="Vírgula">
      <totalsRowFormula>D6+D10+D11+D12+D13</totalsRowFormula>
    </tableColumn>
    <tableColumn id="4" name="MAR" totalsRowFunction="custom" dataDxfId="114" totalsRowDxfId="113" dataCellStyle="Vírgula">
      <totalsRowFormula>E6+E10+E11+E12+E13</totalsRowFormula>
    </tableColumn>
    <tableColumn id="5" name="ABR" totalsRowFunction="custom" dataDxfId="112" totalsRowDxfId="111" dataCellStyle="Vírgula">
      <totalsRowFormula>F6+F10+F11+F12+F13</totalsRowFormula>
    </tableColumn>
    <tableColumn id="6" name="MAI" totalsRowFunction="custom" dataDxfId="110" totalsRowDxfId="109" dataCellStyle="Vírgula">
      <totalsRowFormula>G6+G10+G11+G12+G13</totalsRowFormula>
    </tableColumn>
    <tableColumn id="7" name="JUN" totalsRowFunction="custom" dataDxfId="108" totalsRowDxfId="107" dataCellStyle="Vírgula">
      <totalsRowFormula>H6+H10+H11+H12+H13</totalsRowFormula>
    </tableColumn>
    <tableColumn id="8" name="JUL" totalsRowFunction="custom" dataDxfId="106" totalsRowDxfId="105" dataCellStyle="Vírgula">
      <totalsRowFormula>I6+I10+I11+I12+I13</totalsRowFormula>
    </tableColumn>
    <tableColumn id="9" name="AGO" totalsRowFunction="custom" dataDxfId="104" totalsRowDxfId="103" dataCellStyle="Vírgula">
      <totalsRowFormula>J6+J10+J11+J12+J13</totalsRowFormula>
    </tableColumn>
    <tableColumn id="14" name="SET" totalsRowFunction="custom" dataDxfId="102" totalsRowDxfId="101" dataCellStyle="Vírgula">
      <totalsRowFormula>K6+K10+K11+K12+K13</totalsRowFormula>
    </tableColumn>
    <tableColumn id="10" name="OUT" totalsRowFunction="custom" dataDxfId="100" totalsRowDxfId="99" dataCellStyle="Vírgula">
      <totalsRowFormula>L6+L10+L11+L12+L13</totalsRowFormula>
    </tableColumn>
    <tableColumn id="11" name="NOV" totalsRowFunction="custom" dataDxfId="98" totalsRowDxfId="97" dataCellStyle="Vírgula">
      <totalsRowFormula>M6+M10+M11+M12+M13</totalsRowFormula>
    </tableColumn>
    <tableColumn id="12" name="DEZ" totalsRowFunction="custom" dataDxfId="96" totalsRowDxfId="95" dataCellStyle="Vírgula">
      <totalsRowFormula>N6+N10+N11+N12+N13</totalsRowFormula>
    </tableColumn>
    <tableColumn id="13" name="TOTAL" totalsRowFunction="custom" dataDxfId="94" totalsRowDxfId="93" dataCellStyle="Vírgula">
      <calculatedColumnFormula>SUM(C6:N6)</calculatedColumnFormula>
      <totalsRowFormula>O6+O10+O11+O12+O13</totalsRowFormula>
    </tableColumn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17" name="Tabela356789101118" displayName="Tabela356789101118" ref="B5:O9" totalsRowCount="1" headerRowDxfId="92" dataDxfId="91" totalsRowDxfId="90" headerRowCellStyle="Vírgula" dataCellStyle="Vírgula" totalsRowCellStyle="Vírgula">
  <autoFilter ref="B5:O8"/>
  <tableColumns count="14">
    <tableColumn id="1" name="Receitas" totalsRowLabel="  Total " dataDxfId="89" totalsRowDxfId="88" dataCellStyle="Vírgula"/>
    <tableColumn id="2" name="JAN" totalsRowFunction="custom" dataDxfId="87" totalsRowDxfId="86" dataCellStyle="Vírgula">
      <totalsRowFormula>C6+C8</totalsRowFormula>
    </tableColumn>
    <tableColumn id="3" name="FEV" totalsRowFunction="custom" dataDxfId="85" totalsRowDxfId="84" dataCellStyle="Vírgula">
      <totalsRowFormula>D6+D8</totalsRowFormula>
    </tableColumn>
    <tableColumn id="4" name="MAR" totalsRowFunction="custom" dataDxfId="83" totalsRowDxfId="82" dataCellStyle="Vírgula">
      <totalsRowFormula>E6+E8</totalsRowFormula>
    </tableColumn>
    <tableColumn id="5" name="ABR" totalsRowFunction="custom" dataDxfId="81" totalsRowDxfId="80" dataCellStyle="Vírgula">
      <totalsRowFormula>F6+F8</totalsRowFormula>
    </tableColumn>
    <tableColumn id="6" name="MAI" totalsRowFunction="custom" dataDxfId="79" totalsRowDxfId="78" dataCellStyle="Vírgula">
      <totalsRowFormula>G6+G8</totalsRowFormula>
    </tableColumn>
    <tableColumn id="7" name="JUN" totalsRowFunction="custom" dataDxfId="77" totalsRowDxfId="76" dataCellStyle="Vírgula">
      <totalsRowFormula>H6+H8</totalsRowFormula>
    </tableColumn>
    <tableColumn id="8" name="JUL" totalsRowFunction="custom" dataDxfId="75" totalsRowDxfId="74" dataCellStyle="Vírgula">
      <totalsRowFormula>I6+I8</totalsRowFormula>
    </tableColumn>
    <tableColumn id="9" name="AGO" totalsRowFunction="custom" dataDxfId="73" totalsRowDxfId="72" dataCellStyle="Vírgula">
      <totalsRowFormula>J6+J8</totalsRowFormula>
    </tableColumn>
    <tableColumn id="14" name="SET" totalsRowFunction="custom" dataDxfId="71" totalsRowDxfId="70" dataCellStyle="Vírgula">
      <totalsRowFormula>K6+K8</totalsRowFormula>
    </tableColumn>
    <tableColumn id="10" name="OUT" totalsRowFunction="custom" dataDxfId="69" totalsRowDxfId="68" dataCellStyle="Vírgula">
      <totalsRowFormula>L6+L8</totalsRowFormula>
    </tableColumn>
    <tableColumn id="11" name="NOV" totalsRowFunction="custom" dataDxfId="67" totalsRowDxfId="66" dataCellStyle="Vírgula">
      <totalsRowFormula>M6+M8</totalsRowFormula>
    </tableColumn>
    <tableColumn id="12" name="DEZ" totalsRowFunction="custom" dataDxfId="65" totalsRowDxfId="64" dataCellStyle="Vírgula">
      <totalsRowFormula>N6+N8</totalsRowFormula>
    </tableColumn>
    <tableColumn id="13" name="TOTAL" totalsRowFunction="custom" dataDxfId="63" totalsRowDxfId="62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4.xml><?xml version="1.0" encoding="utf-8"?>
<table xmlns="http://schemas.openxmlformats.org/spreadsheetml/2006/main" id="19" name="Tabela3520" displayName="Tabela3520" ref="B5:O9" totalsRowCount="1" headerRowDxfId="61" dataDxfId="60" totalsRowDxfId="59" headerRowCellStyle="Vírgula" dataCellStyle="Vírgula" totalsRowCellStyle="Vírgula">
  <autoFilter ref="B5:O8"/>
  <tableColumns count="14">
    <tableColumn id="1" name="Receitas" totalsRowLabel="  Total " dataDxfId="58" totalsRowDxfId="57" dataCellStyle="Vírgula"/>
    <tableColumn id="2" name="JAN" totalsRowFunction="custom" dataDxfId="56" totalsRowDxfId="55" dataCellStyle="Vírgula">
      <totalsRowFormula>C6+C8</totalsRowFormula>
    </tableColumn>
    <tableColumn id="3" name="FEV" totalsRowFunction="custom" dataDxfId="54" totalsRowDxfId="53" dataCellStyle="Vírgula">
      <totalsRowFormula>D6+D8</totalsRowFormula>
    </tableColumn>
    <tableColumn id="4" name="MAR" totalsRowFunction="custom" dataDxfId="52" totalsRowDxfId="51" dataCellStyle="Vírgula">
      <totalsRowFormula>E6+E8</totalsRowFormula>
    </tableColumn>
    <tableColumn id="5" name="ABR" totalsRowFunction="custom" dataDxfId="50" totalsRowDxfId="49" dataCellStyle="Vírgula">
      <totalsRowFormula>F6+F8</totalsRowFormula>
    </tableColumn>
    <tableColumn id="6" name="MAI" totalsRowFunction="custom" dataDxfId="48" totalsRowDxfId="47" dataCellStyle="Vírgula">
      <totalsRowFormula>G6+G8</totalsRowFormula>
    </tableColumn>
    <tableColumn id="7" name="JUN" totalsRowFunction="custom" dataDxfId="46" totalsRowDxfId="45" dataCellStyle="Vírgula">
      <totalsRowFormula>H6+H8</totalsRowFormula>
    </tableColumn>
    <tableColumn id="8" name="JUL" totalsRowFunction="custom" dataDxfId="44" totalsRowDxfId="43" dataCellStyle="Vírgula">
      <totalsRowFormula>I6+I8</totalsRowFormula>
    </tableColumn>
    <tableColumn id="9" name="AGO" totalsRowFunction="custom" dataDxfId="42" totalsRowDxfId="41" dataCellStyle="Vírgula">
      <totalsRowFormula>J6+J8</totalsRowFormula>
    </tableColumn>
    <tableColumn id="14" name="SET" totalsRowFunction="custom" dataDxfId="40" totalsRowDxfId="39" dataCellStyle="Vírgula">
      <totalsRowFormula>K6+K8</totalsRowFormula>
    </tableColumn>
    <tableColumn id="10" name="OUT" totalsRowFunction="custom" dataDxfId="38" totalsRowDxfId="37" dataCellStyle="Vírgula">
      <totalsRowFormula>L6+L8</totalsRowFormula>
    </tableColumn>
    <tableColumn id="11" name="NOV" totalsRowFunction="custom" dataDxfId="36" totalsRowDxfId="35" dataCellStyle="Vírgula">
      <totalsRowFormula>M6+M8</totalsRowFormula>
    </tableColumn>
    <tableColumn id="12" name="DEZ" totalsRowFunction="custom" dataDxfId="34" totalsRowDxfId="33" dataCellStyle="Vírgula">
      <totalsRowFormula>N6+N8</totalsRowFormula>
    </tableColumn>
    <tableColumn id="13" name="TOTAL" totalsRowFunction="custom" dataDxfId="32" totalsRowDxfId="31" dataCellStyle="Vírgula">
      <calculatedColumnFormula>SUM(C6:N6)</calculatedColumnFormula>
      <totalsRowFormula>O6+O8</totalsRowFormula>
    </tableColumn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id="20" name="Tabela3567821" displayName="Tabela3567821" ref="B5:O8" totalsRowCount="1" headerRowDxfId="30" dataDxfId="29" totalsRowDxfId="28" headerRowCellStyle="Vírgula" dataCellStyle="Vírgula" totalsRowCellStyle="Vírgula">
  <autoFilter ref="B5:O7"/>
  <tableColumns count="14">
    <tableColumn id="1" name="Receitas" totalsRowLabel="  Total " dataDxfId="27" totalsRowDxfId="26" dataCellStyle="Vírgula"/>
    <tableColumn id="2" name="JAN" totalsRowFunction="custom" dataDxfId="25" totalsRowDxfId="24" dataCellStyle="Vírgula">
      <totalsRowFormula>C6+C7</totalsRowFormula>
    </tableColumn>
    <tableColumn id="3" name="FEV" totalsRowFunction="custom" dataDxfId="23" totalsRowDxfId="22" dataCellStyle="Vírgula">
      <totalsRowFormula>D6+D7</totalsRowFormula>
    </tableColumn>
    <tableColumn id="4" name="MAR" totalsRowFunction="custom" dataDxfId="21" totalsRowDxfId="20" dataCellStyle="Vírgula">
      <totalsRowFormula>E6+E7</totalsRowFormula>
    </tableColumn>
    <tableColumn id="5" name="ABR" totalsRowFunction="custom" dataDxfId="19" totalsRowDxfId="18" dataCellStyle="Vírgula">
      <totalsRowFormula>F6+F7</totalsRowFormula>
    </tableColumn>
    <tableColumn id="6" name="MAI" totalsRowFunction="custom" dataDxfId="17" totalsRowDxfId="16" dataCellStyle="Vírgula">
      <totalsRowFormula>G6+G7</totalsRowFormula>
    </tableColumn>
    <tableColumn id="7" name="JUN" totalsRowFunction="custom" dataDxfId="15" totalsRowDxfId="14" dataCellStyle="Vírgula">
      <totalsRowFormula>H6+H7</totalsRowFormula>
    </tableColumn>
    <tableColumn id="8" name="JUL" totalsRowFunction="custom" dataDxfId="13" totalsRowDxfId="12" dataCellStyle="Vírgula">
      <totalsRowFormula>I6+I7</totalsRowFormula>
    </tableColumn>
    <tableColumn id="9" name="AGO" totalsRowFunction="custom" dataDxfId="11" totalsRowDxfId="10" dataCellStyle="Vírgula">
      <totalsRowFormula>J6+J7</totalsRowFormula>
    </tableColumn>
    <tableColumn id="14" name="SET" totalsRowFunction="custom" dataDxfId="9" totalsRowDxfId="8" dataCellStyle="Vírgula">
      <totalsRowFormula>K6+K7</totalsRowFormula>
    </tableColumn>
    <tableColumn id="10" name="OUT" totalsRowFunction="custom" dataDxfId="7" totalsRowDxfId="6" dataCellStyle="Vírgula">
      <totalsRowFormula>L6+L7</totalsRowFormula>
    </tableColumn>
    <tableColumn id="11" name="NOV" totalsRowFunction="custom" dataDxfId="5" totalsRowDxfId="4" dataCellStyle="Vírgula">
      <totalsRowFormula>M6+M7</totalsRowFormula>
    </tableColumn>
    <tableColumn id="12" name="DEZ" totalsRowFunction="custom" dataDxfId="3" totalsRowDxfId="2" dataCellStyle="Vírgula">
      <totalsRowFormula>N6+N7</totalsRowFormula>
    </tableColumn>
    <tableColumn id="13" name="TOTAL" totalsRowFunction="custom" dataDxfId="1" totalsRowDxfId="0" dataCellStyle="Vírgula">
      <calculatedColumnFormula>SUM(C6:N6)</calculatedColumnFormula>
      <totalsRowFormula>O6+O7</totalsRow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zoomScaleNormal="100" workbookViewId="0">
      <pane xSplit="2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Q7" sqref="Q7:Q8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11" width="19.140625" style="2" bestFit="1" customWidth="1"/>
    <col min="12" max="12" width="19.28515625" style="2" customWidth="1"/>
    <col min="13" max="13" width="18.85546875" style="2" customWidth="1"/>
    <col min="14" max="14" width="19.140625" style="2" bestFit="1" customWidth="1"/>
    <col min="15" max="15" width="21" style="2" bestFit="1" customWidth="1"/>
    <col min="16" max="16" width="9.140625" style="2"/>
    <col min="17" max="17" width="13.85546875" style="2" bestFit="1" customWidth="1"/>
    <col min="18" max="16384" width="9.140625" style="2"/>
  </cols>
  <sheetData>
    <row r="2" spans="2:15" ht="23.1" customHeight="1" x14ac:dyDescent="0.25">
      <c r="B2" s="7" t="s">
        <v>33</v>
      </c>
    </row>
    <row r="3" spans="2:15" ht="23.1" customHeight="1" x14ac:dyDescent="0.25">
      <c r="B3" s="7" t="s">
        <v>28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26</v>
      </c>
      <c r="C6" s="2">
        <f t="shared" ref="C6:N6" si="0">SUM(C7:C9)</f>
        <v>124098202.88</v>
      </c>
      <c r="D6" s="2">
        <f t="shared" si="0"/>
        <v>133595500</v>
      </c>
      <c r="E6" s="2">
        <f t="shared" si="0"/>
        <v>145595500</v>
      </c>
      <c r="F6" s="2">
        <f t="shared" si="0"/>
        <v>138744432.12</v>
      </c>
      <c r="G6" s="2">
        <f>SUM(G7:G9)</f>
        <v>149587159.91999999</v>
      </c>
      <c r="H6" s="2">
        <f t="shared" si="0"/>
        <v>135844431.99000001</v>
      </c>
      <c r="I6" s="2">
        <f>SUM(I7:I9)</f>
        <v>141744431.99000001</v>
      </c>
      <c r="J6" s="2">
        <f t="shared" si="0"/>
        <v>126744431.98999999</v>
      </c>
      <c r="K6" s="2">
        <f t="shared" si="0"/>
        <v>149587159.93000001</v>
      </c>
      <c r="L6" s="2">
        <f t="shared" si="0"/>
        <v>210108724.97</v>
      </c>
      <c r="M6" s="2">
        <f t="shared" si="0"/>
        <v>155601870.11000001</v>
      </c>
      <c r="N6" s="2">
        <f t="shared" si="0"/>
        <v>155331007.87</v>
      </c>
      <c r="O6" s="2">
        <f>SUM(C6:N6)</f>
        <v>1766582853.77</v>
      </c>
    </row>
    <row r="7" spans="2:15" s="8" customFormat="1" ht="18" customHeight="1" x14ac:dyDescent="0.25">
      <c r="B7" s="6" t="s">
        <v>34</v>
      </c>
      <c r="C7" s="8">
        <f>18587495.6+16233671.07</f>
        <v>34821166.670000002</v>
      </c>
      <c r="D7" s="8">
        <f>18587495.6+16233671.07</f>
        <v>34821166.670000002</v>
      </c>
      <c r="E7" s="8">
        <f>18587495.6+16233671.07</f>
        <v>34821166.670000002</v>
      </c>
      <c r="F7" s="8">
        <f>8099473.02+6721693.64</f>
        <v>14821166.66</v>
      </c>
      <c r="G7" s="8">
        <f>8099473.02+6721693.64</f>
        <v>14821166.66</v>
      </c>
      <c r="H7" s="8">
        <f>8099473.02+6721693.64</f>
        <v>14821166.66</v>
      </c>
      <c r="I7" s="8">
        <f>8099473.02+6721693.64</f>
        <v>14821166.66</v>
      </c>
      <c r="J7" s="8">
        <f>8099473.02+6721693.64</f>
        <v>14821166.66</v>
      </c>
      <c r="K7" s="8">
        <f>8099473.02+6721693.65</f>
        <v>14821166.67</v>
      </c>
      <c r="L7" s="8">
        <f>5066243.69+9754922.98</f>
        <v>14821166.670000002</v>
      </c>
      <c r="M7" s="8">
        <f>5066243.69+9754922.98</f>
        <v>14821166.670000002</v>
      </c>
      <c r="N7" s="8">
        <v>14821166.67</v>
      </c>
      <c r="O7" s="8">
        <f>SUM(C7:N7)</f>
        <v>237853999.98999998</v>
      </c>
    </row>
    <row r="8" spans="2:15" s="8" customFormat="1" ht="18" customHeight="1" x14ac:dyDescent="0.25">
      <c r="B8" s="6" t="s">
        <v>29</v>
      </c>
      <c r="C8" s="8">
        <f>73884522.21+3392514</f>
        <v>77277036.209999993</v>
      </c>
      <c r="D8" s="8">
        <v>98774333.329999998</v>
      </c>
      <c r="E8" s="8">
        <f>98774333.33</f>
        <v>98774333.329999998</v>
      </c>
      <c r="F8" s="8">
        <v>98774333.329999998</v>
      </c>
      <c r="G8" s="8">
        <v>98774333.329999998</v>
      </c>
      <c r="H8" s="8">
        <v>98774333.329999998</v>
      </c>
      <c r="I8" s="8">
        <v>98774333.329999998</v>
      </c>
      <c r="J8" s="8">
        <v>98774333.329999998</v>
      </c>
      <c r="K8" s="8">
        <f>Tabela356789101112131417[[#This Row],[AGO]]</f>
        <v>98774333.329999998</v>
      </c>
      <c r="L8" s="8">
        <f>Tabela356789101112131417[[#This Row],[SET]]</f>
        <v>98774333.329999998</v>
      </c>
      <c r="M8" s="8">
        <f>Tabela356789101112131417[[#This Row],[OUT]]</f>
        <v>98774333.329999998</v>
      </c>
      <c r="N8" s="8">
        <v>98774333.329999998</v>
      </c>
      <c r="O8" s="8">
        <f>SUM(C8:N8)</f>
        <v>1163794702.8400002</v>
      </c>
    </row>
    <row r="9" spans="2:15" s="8" customFormat="1" ht="16.5" x14ac:dyDescent="0.25">
      <c r="B9" s="6" t="s">
        <v>30</v>
      </c>
      <c r="C9" s="8">
        <f>12000000</f>
        <v>12000000</v>
      </c>
      <c r="D9" s="8">
        <v>0</v>
      </c>
      <c r="E9" s="8">
        <v>12000000</v>
      </c>
      <c r="F9" s="18">
        <f>13148932.13+12000000</f>
        <v>25148932.130000003</v>
      </c>
      <c r="G9" s="8">
        <f>22842727.93+13148932</f>
        <v>35991659.93</v>
      </c>
      <c r="H9" s="8">
        <f>13148932+9100000</f>
        <v>22248932</v>
      </c>
      <c r="I9" s="8">
        <v>28148932</v>
      </c>
      <c r="J9" s="8">
        <f>13148932</f>
        <v>13148932</v>
      </c>
      <c r="K9" s="8">
        <f>13148932+22842727.93</f>
        <v>35991659.93</v>
      </c>
      <c r="L9" s="8">
        <f>36766894.5+17138382.05+169709.1+93725.28+23709279.84+13148932+3932405.44+1553896.76</f>
        <v>96513224.969999999</v>
      </c>
      <c r="M9" s="8">
        <f>22842727.93+13148932+3932405+1553897+313517.93+373.52+214510.1+6.63</f>
        <v>42006370.110000007</v>
      </c>
      <c r="N9" s="8">
        <f>257545.87+22842728+13148932+3932405+1553897</f>
        <v>41735507.870000005</v>
      </c>
      <c r="O9" s="2">
        <f>SUM(C9:N9)</f>
        <v>364934150.94000006</v>
      </c>
    </row>
    <row r="10" spans="2:15" ht="18" customHeight="1" x14ac:dyDescent="0.25">
      <c r="B10" s="2" t="s">
        <v>3</v>
      </c>
      <c r="C10" s="2">
        <v>1680251.16</v>
      </c>
      <c r="D10" s="2">
        <v>1311686.6399999999</v>
      </c>
      <c r="E10" s="2">
        <v>1855281.9</v>
      </c>
      <c r="F10" s="2">
        <v>1425789.09</v>
      </c>
      <c r="G10" s="2">
        <v>1917280.67</v>
      </c>
      <c r="H10" s="2">
        <v>1541360.9400000002</v>
      </c>
      <c r="I10" s="2">
        <v>1417258.97</v>
      </c>
      <c r="J10" s="2">
        <v>1736252.6400000001</v>
      </c>
      <c r="K10" s="2">
        <v>1452622.8399999999</v>
      </c>
      <c r="L10" s="2">
        <v>1449399.6600000001</v>
      </c>
      <c r="M10" s="2">
        <v>1257728.2600000002</v>
      </c>
      <c r="N10" s="2">
        <v>831208.3</v>
      </c>
      <c r="O10" s="2">
        <f>SUM(C10:N10)</f>
        <v>17876121.07</v>
      </c>
    </row>
    <row r="11" spans="2:15" ht="23.1" customHeight="1" x14ac:dyDescent="0.25">
      <c r="B11" s="19" t="s">
        <v>31</v>
      </c>
      <c r="C11" s="20">
        <f t="shared" ref="C11:O11" si="1">C6+C10</f>
        <v>125778454.03999999</v>
      </c>
      <c r="D11" s="20">
        <f t="shared" si="1"/>
        <v>134907186.63999999</v>
      </c>
      <c r="E11" s="20">
        <f t="shared" si="1"/>
        <v>147450781.90000001</v>
      </c>
      <c r="F11" s="20">
        <f t="shared" si="1"/>
        <v>140170221.21000001</v>
      </c>
      <c r="G11" s="20">
        <f>G6+G10</f>
        <v>151504440.58999997</v>
      </c>
      <c r="H11" s="20">
        <f t="shared" si="1"/>
        <v>137385792.93000001</v>
      </c>
      <c r="I11" s="20">
        <f t="shared" si="1"/>
        <v>143161690.96000001</v>
      </c>
      <c r="J11" s="20">
        <f t="shared" si="1"/>
        <v>128480684.63</v>
      </c>
      <c r="K11" s="20">
        <f t="shared" si="1"/>
        <v>151039782.77000001</v>
      </c>
      <c r="L11" s="20">
        <f t="shared" si="1"/>
        <v>211558124.63</v>
      </c>
      <c r="M11" s="20">
        <f t="shared" si="1"/>
        <v>156859598.37</v>
      </c>
      <c r="N11" s="20">
        <f t="shared" si="1"/>
        <v>156162216.17000002</v>
      </c>
      <c r="O11" s="20">
        <f t="shared" si="1"/>
        <v>1784458974.8399999</v>
      </c>
    </row>
    <row r="13" spans="2:15" ht="23.1" customHeight="1" x14ac:dyDescent="0.25">
      <c r="B13" s="13"/>
      <c r="C13" s="14"/>
      <c r="D13" s="14"/>
      <c r="E13" s="14"/>
      <c r="F13" s="14"/>
      <c r="G13" s="14"/>
      <c r="H13" s="15"/>
      <c r="I13" s="15"/>
      <c r="J13" s="14"/>
      <c r="K13" s="14"/>
      <c r="L13" s="14">
        <f>Tabela356789101112131417[[#Totals],[OUT]]+Tabela356789101118[[#Totals],[OUT]]+Tabela319[[#Totals],[OUT]]+Tabela3520[[#Totals],[OUT]]+Tabela3567821[[#Totals],[OUT]]</f>
        <v>242773396.11339998</v>
      </c>
      <c r="M13" s="14">
        <f>Tabela356789101112131417[[#Totals],[NOV]]+Tabela356789101118[[#Totals],[NOV]]+Tabela319[[#Totals],[NOV]]+Tabela3520[[#Totals],[NOV]]+Tabela3567821[[#Totals],[NOV]]</f>
        <v>189682954.39969999</v>
      </c>
      <c r="N13" s="14">
        <f>Tabela356789101112131417[[#Totals],[DEZ]]+Tabela356789101118[[#Totals],[DEZ]]+Tabela319[[#Totals],[DEZ]]+Tabela3520[[#Totals],[DEZ]]+Tabela3567821[[#Totals],[DEZ]]</f>
        <v>186529743.54629996</v>
      </c>
      <c r="O13" s="14">
        <v>185090000</v>
      </c>
    </row>
    <row r="14" spans="2:15" ht="23.1" customHeight="1" x14ac:dyDescent="0.25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f>O13-O9</f>
        <v>-179844150.94000006</v>
      </c>
    </row>
    <row r="15" spans="2:15" ht="23.1" customHeight="1" x14ac:dyDescent="0.25">
      <c r="C15" s="14"/>
      <c r="D15" s="14"/>
      <c r="E15" s="14"/>
      <c r="F15" s="14"/>
      <c r="G15" s="14"/>
      <c r="H15" s="14"/>
      <c r="I15" s="15"/>
      <c r="J15" s="14"/>
      <c r="K15" s="14"/>
      <c r="L15" s="14"/>
      <c r="M15" s="16"/>
      <c r="N15" s="14"/>
      <c r="O15" s="14"/>
    </row>
    <row r="16" spans="2:15" ht="23.1" customHeight="1" x14ac:dyDescent="0.25">
      <c r="C16" s="14"/>
      <c r="D16" s="14"/>
      <c r="E16" s="14"/>
      <c r="F16" s="14"/>
      <c r="G16" s="14"/>
      <c r="H16" s="14"/>
      <c r="I16" s="14"/>
      <c r="J16" s="14">
        <v>39446796</v>
      </c>
      <c r="K16" s="14"/>
      <c r="L16" s="14"/>
      <c r="M16" s="14"/>
      <c r="N16" s="14"/>
      <c r="O16" s="14"/>
    </row>
    <row r="17" spans="3:15" ht="23.1" customHeight="1" x14ac:dyDescent="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>
        <v>184679047.99000001</v>
      </c>
    </row>
    <row r="18" spans="3:15" ht="23.1" customHeight="1" x14ac:dyDescent="0.2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3:15" ht="23.1" customHeight="1" x14ac:dyDescent="0.25"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3:15" ht="23.1" customHeight="1" x14ac:dyDescent="0.25">
      <c r="C20" s="14"/>
      <c r="D20" s="14"/>
      <c r="E20" s="14"/>
      <c r="F20" s="14"/>
      <c r="G20" s="14"/>
      <c r="H20" s="14"/>
      <c r="I20" s="14"/>
      <c r="J20" s="14"/>
      <c r="K20" s="14"/>
      <c r="L20" s="17"/>
      <c r="M20" s="14"/>
      <c r="N20" s="14"/>
      <c r="O20" s="14"/>
    </row>
    <row r="21" spans="3:15" ht="23.1" customHeight="1" x14ac:dyDescent="0.25"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3:15" ht="23.1" customHeight="1" x14ac:dyDescent="0.25"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3:15" ht="23.1" customHeight="1" x14ac:dyDescent="0.2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O6 O8 O7 O10 O9" calculatedColumn="1"/>
    <ignoredError sqref="H6 C6 D6:F6 J6:N6" formulaRange="1" calculatedColumn="1"/>
  </ignoredErrors>
  <legacyDrawingHF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N10" sqref="N10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7.28515625" style="2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33</v>
      </c>
    </row>
    <row r="3" spans="2:15" ht="23.1" customHeight="1" x14ac:dyDescent="0.25">
      <c r="B3" s="7" t="s">
        <v>19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f t="shared" ref="C6:N6" si="0">SUM(C7:C9)</f>
        <v>16498269.289999999</v>
      </c>
      <c r="D6" s="2">
        <f t="shared" si="0"/>
        <v>17105028.48</v>
      </c>
      <c r="E6" s="2">
        <f t="shared" si="0"/>
        <v>20804214.010000002</v>
      </c>
      <c r="F6" s="2">
        <f t="shared" si="0"/>
        <v>17983952.039999999</v>
      </c>
      <c r="G6" s="2">
        <f>SUM(G7:G9)</f>
        <v>21750473.280000001</v>
      </c>
      <c r="H6" s="2">
        <f t="shared" si="0"/>
        <v>22575205.809999999</v>
      </c>
      <c r="I6" s="2">
        <f t="shared" si="0"/>
        <v>20176061.800000001</v>
      </c>
      <c r="J6" s="2">
        <f t="shared" si="0"/>
        <v>23541651.469999999</v>
      </c>
      <c r="K6" s="2">
        <f t="shared" si="0"/>
        <v>22373908.02</v>
      </c>
      <c r="L6" s="2">
        <f t="shared" si="0"/>
        <v>22372957.780000001</v>
      </c>
      <c r="M6" s="2">
        <f t="shared" si="0"/>
        <v>23751749.990000002</v>
      </c>
      <c r="N6" s="2">
        <f t="shared" si="0"/>
        <v>21752443.209999964</v>
      </c>
      <c r="O6" s="2">
        <f t="shared" ref="O6:O12" si="1">SUM(C6:N6)</f>
        <v>250685915.18000001</v>
      </c>
    </row>
    <row r="7" spans="2:15" s="8" customFormat="1" ht="18" customHeight="1" x14ac:dyDescent="0.25">
      <c r="B7" s="6" t="s">
        <v>16</v>
      </c>
      <c r="C7" s="8">
        <v>7027725.1699999999</v>
      </c>
      <c r="D7" s="8">
        <v>9851212.0899999999</v>
      </c>
      <c r="E7" s="10">
        <v>13068931.710000001</v>
      </c>
      <c r="F7" s="8">
        <v>7657608.9100000001</v>
      </c>
      <c r="G7" s="8">
        <v>13822393.66</v>
      </c>
      <c r="H7" s="8">
        <v>13584511.279999999</v>
      </c>
      <c r="I7" s="8">
        <v>11664448.810000001</v>
      </c>
      <c r="J7" s="8">
        <v>14276935.23</v>
      </c>
      <c r="K7" s="8">
        <v>11979240.16</v>
      </c>
      <c r="L7" s="8">
        <v>12765645.58</v>
      </c>
      <c r="M7" s="8">
        <v>13393853.02</v>
      </c>
      <c r="N7" s="8">
        <v>12181368.197599979</v>
      </c>
      <c r="O7" s="8">
        <f t="shared" si="1"/>
        <v>141273873.81759998</v>
      </c>
    </row>
    <row r="8" spans="2:15" s="8" customFormat="1" ht="18" customHeight="1" x14ac:dyDescent="0.25">
      <c r="B8" s="6" t="s">
        <v>17</v>
      </c>
      <c r="C8" s="8">
        <v>9470544.1199999992</v>
      </c>
      <c r="D8" s="8">
        <v>7253816.3899999997</v>
      </c>
      <c r="E8" s="10">
        <v>7735282.2999999998</v>
      </c>
      <c r="F8" s="8">
        <v>10326343.130000001</v>
      </c>
      <c r="G8" s="8">
        <v>7928079.6200000001</v>
      </c>
      <c r="H8" s="8">
        <v>8990694.5299999993</v>
      </c>
      <c r="I8" s="8">
        <v>8511612.9900000002</v>
      </c>
      <c r="J8" s="8">
        <v>9264716.2400000002</v>
      </c>
      <c r="K8" s="8">
        <v>10394667.859999999</v>
      </c>
      <c r="L8" s="8">
        <v>9607312.1999999993</v>
      </c>
      <c r="M8" s="8">
        <v>10357896.970000001</v>
      </c>
      <c r="N8" s="8">
        <v>9571075.0123999827</v>
      </c>
      <c r="O8" s="8">
        <f t="shared" si="1"/>
        <v>109412041.36239998</v>
      </c>
    </row>
    <row r="9" spans="2:15" s="8" customFormat="1" ht="18" customHeight="1" x14ac:dyDescent="0.25">
      <c r="B9" s="6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f t="shared" si="1"/>
        <v>0</v>
      </c>
    </row>
    <row r="10" spans="2:15" ht="18" customHeight="1" x14ac:dyDescent="0.25">
      <c r="B10" s="2" t="s">
        <v>3</v>
      </c>
      <c r="C10" s="2">
        <v>2833870.7</v>
      </c>
      <c r="D10" s="2">
        <v>2470214.79</v>
      </c>
      <c r="E10" s="2">
        <v>3301798.71</v>
      </c>
      <c r="F10" s="2">
        <v>2665737.16</v>
      </c>
      <c r="G10" s="2">
        <v>3463565.18</v>
      </c>
      <c r="H10" s="2">
        <v>3431325.85</v>
      </c>
      <c r="I10" s="2">
        <v>3459454.52</v>
      </c>
      <c r="J10" s="2">
        <v>3871582.98</v>
      </c>
      <c r="K10" s="2">
        <v>3407494.2699999996</v>
      </c>
      <c r="L10" s="2">
        <v>3514379.2199999997</v>
      </c>
      <c r="M10" s="2">
        <v>3315482.09</v>
      </c>
      <c r="N10" s="2">
        <v>3281769.81</v>
      </c>
      <c r="O10" s="2">
        <f t="shared" si="1"/>
        <v>39016675.280000001</v>
      </c>
    </row>
    <row r="11" spans="2:15" ht="18" customHeight="1" x14ac:dyDescent="0.25">
      <c r="B11" s="2" t="s">
        <v>20</v>
      </c>
      <c r="C11" s="2">
        <v>82123.61</v>
      </c>
      <c r="D11" s="2">
        <v>88878.49</v>
      </c>
      <c r="E11" s="2">
        <v>88144.48</v>
      </c>
      <c r="F11" s="2">
        <v>90018.45</v>
      </c>
      <c r="G11" s="2">
        <v>91269.87</v>
      </c>
      <c r="H11" s="2">
        <v>89362.22</v>
      </c>
      <c r="I11" s="2">
        <v>78827.009999999995</v>
      </c>
      <c r="J11" s="2">
        <v>90577.22</v>
      </c>
      <c r="K11" s="2">
        <v>93859.29</v>
      </c>
      <c r="L11" s="2">
        <v>93608.639999999999</v>
      </c>
      <c r="M11" s="2">
        <v>93025.23</v>
      </c>
      <c r="N11" s="2">
        <v>94862.57</v>
      </c>
      <c r="O11" s="2">
        <f>SUM(C11:N11)</f>
        <v>1074557.08</v>
      </c>
    </row>
    <row r="12" spans="2:15" ht="18" customHeight="1" x14ac:dyDescent="0.25">
      <c r="B12" s="3" t="s">
        <v>21</v>
      </c>
      <c r="C12" s="2">
        <v>2532659.81</v>
      </c>
      <c r="D12" s="2">
        <v>206219.16</v>
      </c>
      <c r="E12" s="2">
        <v>4637480.0999999996</v>
      </c>
      <c r="F12" s="2">
        <v>2315208.77</v>
      </c>
      <c r="G12" s="2">
        <v>2369165.21</v>
      </c>
      <c r="H12" s="2">
        <v>2384243.39</v>
      </c>
      <c r="I12" s="2">
        <v>3262218.2</v>
      </c>
      <c r="J12" s="2">
        <v>2693562.62</v>
      </c>
      <c r="K12" s="2">
        <v>2723078.62</v>
      </c>
      <c r="L12" s="2">
        <v>2720723.03</v>
      </c>
      <c r="M12" s="2">
        <v>2769970.55</v>
      </c>
      <c r="N12" s="2">
        <v>2814104.41</v>
      </c>
      <c r="O12" s="2">
        <f t="shared" si="1"/>
        <v>31428633.870000005</v>
      </c>
    </row>
    <row r="13" spans="2:15" ht="18" customHeight="1" x14ac:dyDescent="0.25">
      <c r="B13" s="9" t="s">
        <v>32</v>
      </c>
      <c r="C13" s="9">
        <v>531.72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/>
      <c r="L13" s="9">
        <v>24480.97</v>
      </c>
      <c r="M13" s="9"/>
      <c r="N13" s="9">
        <v>1350.1</v>
      </c>
      <c r="O13" s="9">
        <f>SUM(C13:N13)</f>
        <v>26362.79</v>
      </c>
    </row>
    <row r="14" spans="2:15" ht="23.1" customHeight="1" x14ac:dyDescent="0.25">
      <c r="B14" s="19" t="s">
        <v>31</v>
      </c>
      <c r="C14" s="20">
        <f t="shared" ref="C14:N14" si="2">C6+C10+C11+C12+C13</f>
        <v>21947455.129999995</v>
      </c>
      <c r="D14" s="20">
        <f t="shared" si="2"/>
        <v>19870340.919999998</v>
      </c>
      <c r="E14" s="20">
        <f t="shared" si="2"/>
        <v>28831637.300000004</v>
      </c>
      <c r="F14" s="20">
        <f t="shared" si="2"/>
        <v>23054916.419999998</v>
      </c>
      <c r="G14" s="20">
        <f>G6+G10+G11+G12+G13</f>
        <v>27674473.540000003</v>
      </c>
      <c r="H14" s="20">
        <f t="shared" si="2"/>
        <v>28480137.27</v>
      </c>
      <c r="I14" s="20">
        <f>I6+I10+I11+I12+I13</f>
        <v>26976561.530000001</v>
      </c>
      <c r="J14" s="20">
        <f t="shared" si="2"/>
        <v>30197374.289999999</v>
      </c>
      <c r="K14" s="20">
        <f t="shared" si="2"/>
        <v>28598340.199999999</v>
      </c>
      <c r="L14" s="20">
        <f t="shared" si="2"/>
        <v>28726149.640000001</v>
      </c>
      <c r="M14" s="20">
        <f t="shared" si="2"/>
        <v>29930227.860000003</v>
      </c>
      <c r="N14" s="20">
        <f t="shared" si="2"/>
        <v>27944530.099999964</v>
      </c>
      <c r="O14" s="20">
        <f>O6+O10+O11+O12+O13</f>
        <v>322232144.20000005</v>
      </c>
    </row>
    <row r="15" spans="2:15" ht="23.1" customHeight="1" x14ac:dyDescent="0.25">
      <c r="F15" s="11"/>
      <c r="I15" s="5"/>
      <c r="L15" s="5"/>
    </row>
    <row r="16" spans="2:15" ht="23.1" customHeight="1" x14ac:dyDescent="0.25">
      <c r="I16" s="5"/>
      <c r="L16" s="14">
        <f>AVERAGE(Tabela319[[#Totals],[JAN]:[OUT]])</f>
        <v>26435738.624000002</v>
      </c>
    </row>
    <row r="17" spans="3:12" ht="23.1" customHeight="1" x14ac:dyDescent="0.25">
      <c r="C17" s="14"/>
      <c r="D17" s="14"/>
      <c r="L17" s="14">
        <f>L16*2</f>
        <v>52871477.248000003</v>
      </c>
    </row>
    <row r="18" spans="3:12" ht="23.1" customHeight="1" x14ac:dyDescent="0.25">
      <c r="C18" s="12"/>
      <c r="L18" s="14">
        <f>L17+Tabela319[[#Totals],[TOTAL]]</f>
        <v>375103621.44800007</v>
      </c>
    </row>
    <row r="20" spans="3:12" ht="23.1" customHeight="1" x14ac:dyDescent="0.25">
      <c r="K20" s="11"/>
    </row>
    <row r="21" spans="3:12" ht="23.1" customHeight="1" x14ac:dyDescent="0.25">
      <c r="K21" s="11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F6 H6:O6" formulaRange="1"/>
  </ignoredError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5"/>
  <sheetViews>
    <sheetView showGridLines="0" zoomScaleNormal="100" workbookViewId="0">
      <pane xSplit="2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N8" sqref="N8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33</v>
      </c>
    </row>
    <row r="3" spans="2:15" ht="23.1" customHeight="1" x14ac:dyDescent="0.25">
      <c r="B3" s="7" t="s">
        <v>25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26</v>
      </c>
      <c r="C6" s="2">
        <f t="shared" ref="C6:N6" si="0">C7</f>
        <v>77416.67</v>
      </c>
      <c r="D6" s="2">
        <f t="shared" si="0"/>
        <v>77416.17</v>
      </c>
      <c r="E6" s="2">
        <f t="shared" si="0"/>
        <v>77416.17</v>
      </c>
      <c r="F6" s="2">
        <f t="shared" si="0"/>
        <v>77416.67</v>
      </c>
      <c r="G6" s="2">
        <f t="shared" si="0"/>
        <v>77416.67</v>
      </c>
      <c r="H6" s="2">
        <f t="shared" si="0"/>
        <v>77416.67</v>
      </c>
      <c r="I6" s="2">
        <f t="shared" si="0"/>
        <v>210339.17</v>
      </c>
      <c r="J6" s="2">
        <f t="shared" si="0"/>
        <v>77416.67</v>
      </c>
      <c r="K6" s="2">
        <f>K7</f>
        <v>236923.67</v>
      </c>
      <c r="L6" s="2">
        <f t="shared" si="0"/>
        <v>236923.67</v>
      </c>
      <c r="M6" s="2">
        <f t="shared" si="0"/>
        <v>250215.92</v>
      </c>
      <c r="N6" s="2">
        <f t="shared" si="0"/>
        <v>0</v>
      </c>
      <c r="O6" s="2">
        <f>SUM(C6:N6)</f>
        <v>1476318.1199999999</v>
      </c>
    </row>
    <row r="7" spans="2:15" s="8" customFormat="1" ht="18" customHeight="1" x14ac:dyDescent="0.25">
      <c r="B7" s="6" t="s">
        <v>27</v>
      </c>
      <c r="C7" s="8">
        <v>77416.67</v>
      </c>
      <c r="D7" s="8">
        <v>77416.17</v>
      </c>
      <c r="E7" s="8">
        <v>77416.17</v>
      </c>
      <c r="F7" s="8">
        <v>77416.67</v>
      </c>
      <c r="G7" s="8">
        <v>77416.67</v>
      </c>
      <c r="H7" s="8">
        <v>77416.67</v>
      </c>
      <c r="I7" s="8">
        <v>210339.17</v>
      </c>
      <c r="J7" s="8">
        <v>77416.67</v>
      </c>
      <c r="K7" s="8">
        <v>236923.67</v>
      </c>
      <c r="L7" s="8">
        <v>236923.67</v>
      </c>
      <c r="M7" s="8">
        <v>250215.92</v>
      </c>
      <c r="N7" s="8">
        <v>0</v>
      </c>
      <c r="O7" s="2">
        <f>SUM(C7:N7)</f>
        <v>1476318.1199999999</v>
      </c>
    </row>
    <row r="8" spans="2:15" ht="18" customHeight="1" x14ac:dyDescent="0.25">
      <c r="B8" s="2" t="s">
        <v>3</v>
      </c>
      <c r="C8" s="2">
        <v>10583.79</v>
      </c>
      <c r="D8" s="2">
        <v>9296.59</v>
      </c>
      <c r="E8" s="2">
        <v>12324.37</v>
      </c>
      <c r="F8" s="2">
        <v>9643.67</v>
      </c>
      <c r="G8" s="2">
        <v>11531.21</v>
      </c>
      <c r="H8" s="2">
        <v>10054.76</v>
      </c>
      <c r="I8" s="2">
        <v>9848.75</v>
      </c>
      <c r="J8" s="2">
        <v>11564.42</v>
      </c>
      <c r="K8" s="2">
        <v>9229.07</v>
      </c>
      <c r="L8" s="2">
        <v>9979.52</v>
      </c>
      <c r="M8" s="2">
        <v>9759.09</v>
      </c>
      <c r="N8" s="2">
        <v>9639.89</v>
      </c>
      <c r="O8" s="2">
        <f>SUM(C8:N8)</f>
        <v>123455.13</v>
      </c>
    </row>
    <row r="9" spans="2:15" ht="23.1" customHeight="1" x14ac:dyDescent="0.25">
      <c r="B9" s="19" t="s">
        <v>31</v>
      </c>
      <c r="C9" s="20">
        <f t="shared" ref="C9:O9" si="1">C6+C8</f>
        <v>88000.459999999992</v>
      </c>
      <c r="D9" s="20">
        <f t="shared" si="1"/>
        <v>86712.76</v>
      </c>
      <c r="E9" s="20">
        <f t="shared" si="1"/>
        <v>89740.54</v>
      </c>
      <c r="F9" s="20">
        <f t="shared" si="1"/>
        <v>87060.34</v>
      </c>
      <c r="G9" s="20">
        <f t="shared" si="1"/>
        <v>88947.88</v>
      </c>
      <c r="H9" s="20">
        <f t="shared" si="1"/>
        <v>87471.43</v>
      </c>
      <c r="I9" s="20">
        <f t="shared" si="1"/>
        <v>220187.92</v>
      </c>
      <c r="J9" s="20">
        <f t="shared" si="1"/>
        <v>88981.09</v>
      </c>
      <c r="K9" s="20">
        <f t="shared" si="1"/>
        <v>246152.74000000002</v>
      </c>
      <c r="L9" s="20">
        <f t="shared" si="1"/>
        <v>246903.19</v>
      </c>
      <c r="M9" s="20">
        <f t="shared" si="1"/>
        <v>259975.01</v>
      </c>
      <c r="N9" s="20">
        <f t="shared" si="1"/>
        <v>9639.89</v>
      </c>
      <c r="O9" s="20">
        <f t="shared" si="1"/>
        <v>1599773.25</v>
      </c>
    </row>
    <row r="11" spans="2:15" ht="23.1" customHeight="1" x14ac:dyDescent="0.25">
      <c r="O11" s="2">
        <v>929000</v>
      </c>
    </row>
    <row r="12" spans="2:15" ht="23.1" customHeight="1" x14ac:dyDescent="0.25">
      <c r="O12" s="2">
        <f>O7-O11</f>
        <v>547318.11999999988</v>
      </c>
    </row>
    <row r="15" spans="2:15" ht="23.1" customHeight="1" x14ac:dyDescent="0.25">
      <c r="O15" s="2">
        <v>1590133.36</v>
      </c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ignoredErrors>
    <ignoredError sqref="C6:J6 L6:N6" calculatedColumn="1"/>
  </ignoredErrors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M15" sqref="M15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33</v>
      </c>
    </row>
    <row r="3" spans="2:15" ht="23.1" customHeight="1" x14ac:dyDescent="0.25">
      <c r="B3" s="7" t="s">
        <v>23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f t="shared" ref="C6:N6" si="0">SUM(C7:C7)</f>
        <v>1138028.17</v>
      </c>
      <c r="D6" s="2">
        <f t="shared" si="0"/>
        <v>1217427.67</v>
      </c>
      <c r="E6" s="2">
        <f t="shared" si="0"/>
        <v>1300867.8599999996</v>
      </c>
      <c r="F6" s="2">
        <f t="shared" si="0"/>
        <v>1049341.3600000001</v>
      </c>
      <c r="G6" s="2">
        <f t="shared" si="0"/>
        <v>1548416.34</v>
      </c>
      <c r="H6" s="2">
        <f t="shared" si="0"/>
        <v>1253025.72</v>
      </c>
      <c r="I6" s="2">
        <f t="shared" si="0"/>
        <v>1277462.2199999997</v>
      </c>
      <c r="J6" s="2">
        <f t="shared" si="0"/>
        <v>1628915.4500000002</v>
      </c>
      <c r="K6" s="2">
        <f t="shared" si="0"/>
        <v>1330402.3</v>
      </c>
      <c r="L6" s="2">
        <f t="shared" si="0"/>
        <v>1366556.8599999999</v>
      </c>
      <c r="M6" s="2">
        <f t="shared" si="0"/>
        <v>1722496.38</v>
      </c>
      <c r="N6" s="2">
        <f t="shared" si="0"/>
        <v>1578384.4900000002</v>
      </c>
      <c r="O6" s="2">
        <f>SUM(C6:N6)</f>
        <v>16411324.819999998</v>
      </c>
    </row>
    <row r="7" spans="2:15" s="8" customFormat="1" ht="18" customHeight="1" x14ac:dyDescent="0.25">
      <c r="B7" s="6" t="s">
        <v>22</v>
      </c>
      <c r="C7" s="8">
        <v>1138028.17</v>
      </c>
      <c r="D7" s="8">
        <v>1217427.67</v>
      </c>
      <c r="E7" s="2">
        <v>1300867.8599999996</v>
      </c>
      <c r="F7" s="8">
        <v>1049341.3600000001</v>
      </c>
      <c r="G7" s="8">
        <v>1548416.34</v>
      </c>
      <c r="H7" s="8">
        <v>1253025.72</v>
      </c>
      <c r="I7" s="8">
        <v>1277462.2199999997</v>
      </c>
      <c r="J7" s="8">
        <v>1628915.4500000002</v>
      </c>
      <c r="K7" s="8">
        <v>1330402.3</v>
      </c>
      <c r="L7" s="8">
        <v>1366556.8599999999</v>
      </c>
      <c r="M7" s="8">
        <v>1722496.38</v>
      </c>
      <c r="N7" s="8">
        <v>1578384.4900000002</v>
      </c>
      <c r="O7" s="8">
        <f>SUM(C7:N7)</f>
        <v>16411324.819999998</v>
      </c>
    </row>
    <row r="8" spans="2:15" ht="18" customHeight="1" x14ac:dyDescent="0.25">
      <c r="B8" s="2" t="s">
        <v>3</v>
      </c>
      <c r="C8" s="2">
        <v>96843.520000000004</v>
      </c>
      <c r="D8" s="2">
        <v>65209.81</v>
      </c>
      <c r="E8" s="2">
        <v>30934.37</v>
      </c>
      <c r="F8" s="2">
        <v>28236.239999999998</v>
      </c>
      <c r="G8" s="2">
        <v>39458.44</v>
      </c>
      <c r="H8" s="2">
        <v>45506.21</v>
      </c>
      <c r="I8" s="2">
        <v>50430.11</v>
      </c>
      <c r="J8" s="2">
        <v>60784.65</v>
      </c>
      <c r="K8" s="2">
        <v>57374.369999999995</v>
      </c>
      <c r="L8" s="2">
        <v>61243.76</v>
      </c>
      <c r="M8" s="2">
        <v>63642.54</v>
      </c>
      <c r="N8" s="2">
        <v>52560.7</v>
      </c>
      <c r="O8" s="2">
        <f>SUM(C8:N8)</f>
        <v>652224.72</v>
      </c>
    </row>
    <row r="9" spans="2:15" ht="18" customHeight="1" x14ac:dyDescent="0.25">
      <c r="B9" s="19" t="s">
        <v>31</v>
      </c>
      <c r="C9" s="20">
        <f>C6+C8</f>
        <v>1234871.69</v>
      </c>
      <c r="D9" s="20">
        <f t="shared" ref="D9:O9" si="1">D6+D8</f>
        <v>1282637.48</v>
      </c>
      <c r="E9" s="20">
        <f t="shared" si="1"/>
        <v>1331802.2299999997</v>
      </c>
      <c r="F9" s="20">
        <f t="shared" si="1"/>
        <v>1077577.6000000001</v>
      </c>
      <c r="G9" s="20">
        <f>G6+G8</f>
        <v>1587874.78</v>
      </c>
      <c r="H9" s="20">
        <f t="shared" si="1"/>
        <v>1298531.93</v>
      </c>
      <c r="I9" s="20">
        <f t="shared" si="1"/>
        <v>1327892.3299999998</v>
      </c>
      <c r="J9" s="20">
        <f t="shared" si="1"/>
        <v>1689700.1</v>
      </c>
      <c r="K9" s="20">
        <f t="shared" si="1"/>
        <v>1387776.67</v>
      </c>
      <c r="L9" s="20">
        <f t="shared" si="1"/>
        <v>1427800.6199999999</v>
      </c>
      <c r="M9" s="20">
        <f t="shared" si="1"/>
        <v>1786138.92</v>
      </c>
      <c r="N9" s="20">
        <f t="shared" si="1"/>
        <v>1630945.1900000002</v>
      </c>
      <c r="O9" s="20">
        <f t="shared" si="1"/>
        <v>17063549.539999999</v>
      </c>
    </row>
    <row r="10" spans="2:15" ht="23.1" customHeight="1" x14ac:dyDescent="0.25">
      <c r="B10" s="4"/>
      <c r="C10" s="5"/>
      <c r="D10" s="5"/>
      <c r="E10" s="5"/>
      <c r="F10" s="5"/>
      <c r="G10" s="5"/>
      <c r="H10" s="5"/>
      <c r="I10" s="5"/>
      <c r="J10" s="5"/>
      <c r="K10" s="5"/>
    </row>
    <row r="12" spans="2:15" ht="23.1" customHeight="1" x14ac:dyDescent="0.25">
      <c r="C12" s="14">
        <f>AVERAGE(Tabela3520[[#Totals],[JAN]:[ABR]])</f>
        <v>1231722.25</v>
      </c>
    </row>
    <row r="13" spans="2:15" ht="23.1" customHeight="1" x14ac:dyDescent="0.25">
      <c r="C13" s="14">
        <f>C12*12</f>
        <v>14780667</v>
      </c>
    </row>
    <row r="14" spans="2:15" ht="23.1" customHeight="1" x14ac:dyDescent="0.25">
      <c r="C14" s="14"/>
    </row>
    <row r="17" spans="11:11" ht="23.1" customHeight="1" x14ac:dyDescent="0.25">
      <c r="K17" s="11"/>
    </row>
    <row r="18" spans="11:11" ht="23.1" customHeight="1" x14ac:dyDescent="0.25">
      <c r="K18" s="11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8"/>
  <sheetViews>
    <sheetView showGridLines="0" topLeftCell="B1" zoomScaleNormal="100" workbookViewId="0">
      <pane xSplit="1" ySplit="5" topLeftCell="C6" activePane="bottomRight" state="frozen"/>
      <selection activeCell="E8" sqref="E8"/>
      <selection pane="topRight" activeCell="E8" sqref="E8"/>
      <selection pane="bottomLeft" activeCell="E8" sqref="E8"/>
      <selection pane="bottomRight" activeCell="N6" sqref="N6:N7"/>
    </sheetView>
  </sheetViews>
  <sheetFormatPr defaultColWidth="9.140625" defaultRowHeight="23.1" customHeight="1" x14ac:dyDescent="0.25"/>
  <cols>
    <col min="1" max="1" width="4.5703125" style="2" customWidth="1"/>
    <col min="2" max="2" width="27.5703125" style="2" customWidth="1"/>
    <col min="3" max="3" width="16.42578125" style="2" bestFit="1" customWidth="1"/>
    <col min="4" max="11" width="17.85546875" style="2" bestFit="1" customWidth="1"/>
    <col min="12" max="12" width="18" style="2" bestFit="1" customWidth="1"/>
    <col min="13" max="14" width="17.85546875" style="2" bestFit="1" customWidth="1"/>
    <col min="15" max="15" width="19.140625" style="2" bestFit="1" customWidth="1"/>
    <col min="16" max="16384" width="9.140625" style="2"/>
  </cols>
  <sheetData>
    <row r="2" spans="2:15" ht="23.1" customHeight="1" x14ac:dyDescent="0.25">
      <c r="B2" s="7" t="s">
        <v>33</v>
      </c>
    </row>
    <row r="3" spans="2:15" ht="23.1" customHeight="1" x14ac:dyDescent="0.25">
      <c r="B3" s="7" t="s">
        <v>24</v>
      </c>
    </row>
    <row r="4" spans="2:15" ht="11.25" customHeight="1" x14ac:dyDescent="0.25"/>
    <row r="5" spans="2:15" s="1" customFormat="1" ht="18" customHeight="1" x14ac:dyDescent="0.25">
      <c r="B5" s="1" t="s">
        <v>1</v>
      </c>
      <c r="C5" s="1" t="s">
        <v>0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4</v>
      </c>
    </row>
    <row r="6" spans="2:15" ht="18" customHeight="1" x14ac:dyDescent="0.25">
      <c r="B6" s="2" t="s">
        <v>2</v>
      </c>
      <c r="C6" s="2">
        <v>494948.08</v>
      </c>
      <c r="D6" s="2">
        <v>513150.85</v>
      </c>
      <c r="E6" s="2">
        <v>624126.42029999953</v>
      </c>
      <c r="F6" s="2">
        <v>539518.5612</v>
      </c>
      <c r="G6" s="2">
        <v>652514.19840000011</v>
      </c>
      <c r="H6" s="2">
        <v>677256.17429999996</v>
      </c>
      <c r="I6" s="2">
        <v>605281.85400000063</v>
      </c>
      <c r="J6" s="2">
        <v>706249.54409999901</v>
      </c>
      <c r="K6" s="2">
        <v>671217.24060000002</v>
      </c>
      <c r="L6" s="2">
        <v>671188.73340000061</v>
      </c>
      <c r="M6" s="2">
        <v>712552.49969999993</v>
      </c>
      <c r="N6" s="2">
        <v>652573.29629999876</v>
      </c>
      <c r="O6" s="2">
        <f>SUM(C6:N6)</f>
        <v>7520577.4522999981</v>
      </c>
    </row>
    <row r="7" spans="2:15" ht="18" customHeight="1" x14ac:dyDescent="0.25">
      <c r="B7" s="2" t="s">
        <v>3</v>
      </c>
      <c r="C7" s="2">
        <v>160198.15</v>
      </c>
      <c r="D7" s="2">
        <v>136083.35999999999</v>
      </c>
      <c r="E7" s="2">
        <v>175346.86</v>
      </c>
      <c r="F7" s="2">
        <v>139941.85</v>
      </c>
      <c r="G7" s="2">
        <v>165553.21</v>
      </c>
      <c r="H7" s="2">
        <v>129881.91</v>
      </c>
      <c r="I7" s="2">
        <v>135339.07</v>
      </c>
      <c r="J7" s="2">
        <v>154293.9</v>
      </c>
      <c r="K7" s="2">
        <v>139462.76999999999</v>
      </c>
      <c r="L7" s="2">
        <v>143229.29999999999</v>
      </c>
      <c r="M7" s="2">
        <v>134461.74</v>
      </c>
      <c r="N7" s="2">
        <v>129838.9</v>
      </c>
      <c r="O7" s="2">
        <f>SUM(C7:N7)</f>
        <v>1743631.0199999998</v>
      </c>
    </row>
    <row r="8" spans="2:15" ht="18" customHeight="1" x14ac:dyDescent="0.25">
      <c r="B8" s="19" t="s">
        <v>31</v>
      </c>
      <c r="C8" s="20">
        <f t="shared" ref="C8:O8" si="0">C6+C7</f>
        <v>655146.23</v>
      </c>
      <c r="D8" s="20">
        <f t="shared" si="0"/>
        <v>649234.21</v>
      </c>
      <c r="E8" s="20">
        <f t="shared" si="0"/>
        <v>799473.28029999952</v>
      </c>
      <c r="F8" s="20">
        <f t="shared" si="0"/>
        <v>679460.41119999997</v>
      </c>
      <c r="G8" s="20">
        <f>G6+G7</f>
        <v>818067.40840000007</v>
      </c>
      <c r="H8" s="20">
        <f t="shared" si="0"/>
        <v>807138.08429999999</v>
      </c>
      <c r="I8" s="20">
        <f t="shared" si="0"/>
        <v>740620.92400000058</v>
      </c>
      <c r="J8" s="20">
        <f t="shared" si="0"/>
        <v>860543.44409999903</v>
      </c>
      <c r="K8" s="20">
        <f t="shared" si="0"/>
        <v>810680.01060000004</v>
      </c>
      <c r="L8" s="20">
        <f t="shared" si="0"/>
        <v>814418.03340000054</v>
      </c>
      <c r="M8" s="20">
        <f t="shared" si="0"/>
        <v>847014.23969999992</v>
      </c>
      <c r="N8" s="20">
        <f t="shared" si="0"/>
        <v>782412.19629999879</v>
      </c>
      <c r="O8" s="20">
        <f t="shared" si="0"/>
        <v>9264208.4722999986</v>
      </c>
    </row>
    <row r="9" spans="2:15" ht="23.1" customHeight="1" x14ac:dyDescent="0.25">
      <c r="B9" s="4"/>
      <c r="C9" s="5"/>
      <c r="D9" s="5"/>
      <c r="E9" s="5"/>
      <c r="F9" s="5"/>
      <c r="G9" s="5"/>
      <c r="H9" s="5"/>
      <c r="I9" s="5"/>
      <c r="J9" s="5"/>
      <c r="K9" s="5"/>
    </row>
    <row r="11" spans="2:15" ht="23.1" customHeight="1" x14ac:dyDescent="0.25">
      <c r="C11" s="14">
        <f>AVERAGE(Tabela3567821[[#Totals],[JAN]:[ABR]])</f>
        <v>695828.5328749998</v>
      </c>
    </row>
    <row r="12" spans="2:15" ht="23.1" customHeight="1" x14ac:dyDescent="0.25">
      <c r="C12" s="14"/>
    </row>
    <row r="17" spans="11:11" ht="23.1" customHeight="1" x14ac:dyDescent="0.25">
      <c r="K17" s="11"/>
    </row>
    <row r="18" spans="11:11" ht="23.1" customHeight="1" x14ac:dyDescent="0.25">
      <c r="K18" s="11"/>
    </row>
  </sheetData>
  <printOptions horizontalCentered="1"/>
  <pageMargins left="0.31496062992125984" right="0.31496062992125984" top="0.94488188976377963" bottom="0.74803149606299213" header="0.31496062992125984" footer="0.31496062992125984"/>
  <pageSetup paperSize="9" scale="50" orientation="landscape" r:id="rId1"/>
  <headerFooter>
    <oddHeader xml:space="preserve">&amp;C&amp;G
&amp;"Segoe UI,Normal"&amp;12Poder Judiciário
Tribunal de Justiça do Maranhão
Execução das Receitas 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5</vt:i4>
      </vt:variant>
    </vt:vector>
  </HeadingPairs>
  <TitlesOfParts>
    <vt:vector size="10" baseType="lpstr">
      <vt:lpstr>TJ 23</vt:lpstr>
      <vt:lpstr>FERJ 23</vt:lpstr>
      <vt:lpstr>FESMAM 23</vt:lpstr>
      <vt:lpstr>FERC 23</vt:lpstr>
      <vt:lpstr>FUNSEG 23</vt:lpstr>
      <vt:lpstr>'FERC 23'!Área_de_Impressão</vt:lpstr>
      <vt:lpstr>'FERJ 23'!Área_de_Impressão</vt:lpstr>
      <vt:lpstr>'FESMAM 23'!Área_de_Impressão</vt:lpstr>
      <vt:lpstr>'FUNSEG 23'!Área_de_Impressão</vt:lpstr>
      <vt:lpstr>'TJ 23'!Área_de_Impressão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Jorge de Oliveira Borges</dc:creator>
  <cp:lastModifiedBy>Cristiano de Jesus Sousa de Abreu</cp:lastModifiedBy>
  <cp:lastPrinted>2023-12-12T12:29:23Z</cp:lastPrinted>
  <dcterms:created xsi:type="dcterms:W3CDTF">2017-09-20T11:11:33Z</dcterms:created>
  <dcterms:modified xsi:type="dcterms:W3CDTF">2024-02-02T12:54:12Z</dcterms:modified>
</cp:coreProperties>
</file>