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 defaultThemeVersion="164011"/>
  <mc:AlternateContent xmlns:mc="http://schemas.openxmlformats.org/markup-compatibility/2006">
    <mc:Choice Requires="x15">
      <x15ac:absPath xmlns:x15ac="http://schemas.microsoft.com/office/spreadsheetml/2010/11/ac" url="Z:\Cristiano - Orçamento\Publicação Mensal\"/>
    </mc:Choice>
  </mc:AlternateContent>
  <bookViews>
    <workbookView xWindow="-105" yWindow="-105" windowWidth="23250" windowHeight="12450" tabRatio="841"/>
  </bookViews>
  <sheets>
    <sheet name="TJ 19" sheetId="26" r:id="rId1"/>
    <sheet name="FERJ 19" sheetId="28" r:id="rId2"/>
    <sheet name="FESMAM 19" sheetId="27" r:id="rId3"/>
    <sheet name="FERC 19" sheetId="29" r:id="rId4"/>
    <sheet name="FUNSEG 19" sheetId="30" r:id="rId5"/>
  </sheets>
  <definedNames>
    <definedName name="_xlnm.Print_Area" localSheetId="3">'FERC 19'!$B$4:$O$12</definedName>
    <definedName name="_xlnm.Print_Area" localSheetId="1">'FERJ 19'!$B$4:$O$16</definedName>
    <definedName name="_xlnm.Print_Area" localSheetId="2">'FESMAM 19'!$B$4:$O$12</definedName>
    <definedName name="_xlnm.Print_Area" localSheetId="4">'FUNSEG 19'!$B$4:$O$11</definedName>
    <definedName name="_xlnm.Print_Area" localSheetId="0">'TJ 19'!$B$5:$O$14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6" l="1"/>
  <c r="F15" i="28"/>
  <c r="O15" i="28" l="1"/>
  <c r="O10" i="26"/>
  <c r="O11" i="26"/>
  <c r="O12" i="26"/>
  <c r="O13" i="26"/>
  <c r="C5" i="26" l="1"/>
  <c r="F9" i="28" l="1"/>
  <c r="F16" i="28" s="1"/>
  <c r="N5" i="30"/>
  <c r="M5" i="30"/>
  <c r="L5" i="30"/>
  <c r="K5" i="30"/>
  <c r="J5" i="30"/>
  <c r="I5" i="30"/>
  <c r="H5" i="30"/>
  <c r="G5" i="30"/>
  <c r="F5" i="30"/>
  <c r="E5" i="30"/>
  <c r="D5" i="30"/>
  <c r="C5" i="30"/>
  <c r="N5" i="29"/>
  <c r="M5" i="29"/>
  <c r="L5" i="29"/>
  <c r="K5" i="29"/>
  <c r="J5" i="29"/>
  <c r="I5" i="29"/>
  <c r="H5" i="29"/>
  <c r="G5" i="29"/>
  <c r="F5" i="29"/>
  <c r="E5" i="29"/>
  <c r="D5" i="29"/>
  <c r="C5" i="29"/>
  <c r="N5" i="27"/>
  <c r="M5" i="27"/>
  <c r="L5" i="27"/>
  <c r="K5" i="27"/>
  <c r="J5" i="27"/>
  <c r="I5" i="27"/>
  <c r="H5" i="27"/>
  <c r="G5" i="27"/>
  <c r="F5" i="27"/>
  <c r="E5" i="27"/>
  <c r="D5" i="27"/>
  <c r="C5" i="27"/>
  <c r="N5" i="28"/>
  <c r="M5" i="28"/>
  <c r="L5" i="28"/>
  <c r="K5" i="28"/>
  <c r="J5" i="28"/>
  <c r="I5" i="28"/>
  <c r="H5" i="28"/>
  <c r="G5" i="28"/>
  <c r="F5" i="28"/>
  <c r="E5" i="28"/>
  <c r="D5" i="28"/>
  <c r="C5" i="28"/>
  <c r="D5" i="26"/>
  <c r="E5" i="26"/>
  <c r="F5" i="26"/>
  <c r="G5" i="26"/>
  <c r="H5" i="26"/>
  <c r="I5" i="26"/>
  <c r="J5" i="26"/>
  <c r="K5" i="26"/>
  <c r="L5" i="26"/>
  <c r="M5" i="26"/>
  <c r="N5" i="26"/>
  <c r="C15" i="30" l="1"/>
  <c r="C16" i="29"/>
  <c r="C20" i="28"/>
  <c r="Q10" i="26" l="1"/>
  <c r="Q11" i="26"/>
  <c r="I9" i="26" l="1"/>
  <c r="G11" i="30" l="1"/>
  <c r="G9" i="28"/>
  <c r="G16" i="28" s="1"/>
  <c r="G9" i="26"/>
  <c r="G14" i="26" s="1"/>
  <c r="O10" i="30" l="1"/>
  <c r="O10" i="27" l="1"/>
  <c r="O11" i="27"/>
  <c r="L9" i="29" l="1"/>
  <c r="K9" i="27" l="1"/>
  <c r="H9" i="29" l="1"/>
  <c r="C9" i="26" l="1"/>
  <c r="E9" i="26"/>
  <c r="E14" i="26" s="1"/>
  <c r="I14" i="26"/>
  <c r="J9" i="26"/>
  <c r="J14" i="26" s="1"/>
  <c r="K9" i="26"/>
  <c r="K14" i="26" s="1"/>
  <c r="L9" i="26"/>
  <c r="L14" i="26" s="1"/>
  <c r="M9" i="26"/>
  <c r="M14" i="26" s="1"/>
  <c r="N9" i="26"/>
  <c r="N14" i="26" s="1"/>
  <c r="N11" i="30"/>
  <c r="J11" i="30"/>
  <c r="F11" i="30"/>
  <c r="K11" i="30"/>
  <c r="C11" i="30"/>
  <c r="M11" i="30"/>
  <c r="L11" i="30"/>
  <c r="I11" i="30"/>
  <c r="H11" i="30"/>
  <c r="E11" i="30"/>
  <c r="D11" i="30"/>
  <c r="O9" i="30"/>
  <c r="O11" i="29"/>
  <c r="N9" i="29"/>
  <c r="N12" i="29" s="1"/>
  <c r="J9" i="29"/>
  <c r="J12" i="29" s="1"/>
  <c r="F9" i="29"/>
  <c r="F12" i="29" s="1"/>
  <c r="O10" i="29"/>
  <c r="M9" i="29"/>
  <c r="M12" i="29" s="1"/>
  <c r="L12" i="29"/>
  <c r="K9" i="29"/>
  <c r="K12" i="29" s="1"/>
  <c r="I9" i="29"/>
  <c r="I12" i="29" s="1"/>
  <c r="H12" i="29"/>
  <c r="G9" i="29"/>
  <c r="G12" i="29" s="1"/>
  <c r="E9" i="29"/>
  <c r="E12" i="29" s="1"/>
  <c r="D9" i="29"/>
  <c r="D12" i="29" s="1"/>
  <c r="C9" i="29"/>
  <c r="C12" i="29" s="1"/>
  <c r="O14" i="28"/>
  <c r="O13" i="28"/>
  <c r="O12" i="28"/>
  <c r="L9" i="28"/>
  <c r="L16" i="28" s="1"/>
  <c r="H9" i="28"/>
  <c r="H16" i="28" s="1"/>
  <c r="D9" i="28"/>
  <c r="D16" i="28" s="1"/>
  <c r="M9" i="28"/>
  <c r="M16" i="28" s="1"/>
  <c r="I9" i="28"/>
  <c r="I16" i="28" s="1"/>
  <c r="E9" i="28"/>
  <c r="E16" i="28" s="1"/>
  <c r="O11" i="28"/>
  <c r="N9" i="28"/>
  <c r="N16" i="28" s="1"/>
  <c r="J9" i="28"/>
  <c r="J16" i="28" s="1"/>
  <c r="O10" i="28"/>
  <c r="K9" i="28"/>
  <c r="K16" i="28" s="1"/>
  <c r="C9" i="28"/>
  <c r="C16" i="28" s="1"/>
  <c r="M9" i="27"/>
  <c r="M12" i="27" s="1"/>
  <c r="I9" i="27"/>
  <c r="I12" i="27" s="1"/>
  <c r="E9" i="27"/>
  <c r="E12" i="27" s="1"/>
  <c r="N9" i="27"/>
  <c r="N12" i="27" s="1"/>
  <c r="L9" i="27"/>
  <c r="L12" i="27" s="1"/>
  <c r="K12" i="27"/>
  <c r="J9" i="27"/>
  <c r="J12" i="27" s="1"/>
  <c r="H9" i="27"/>
  <c r="H12" i="27" s="1"/>
  <c r="G9" i="27"/>
  <c r="G12" i="27" s="1"/>
  <c r="F9" i="27"/>
  <c r="F12" i="27" s="1"/>
  <c r="D9" i="27"/>
  <c r="D12" i="27" s="1"/>
  <c r="C9" i="27"/>
  <c r="C12" i="27" s="1"/>
  <c r="O17" i="26"/>
  <c r="H9" i="26"/>
  <c r="H14" i="26" s="1"/>
  <c r="D9" i="26"/>
  <c r="D14" i="26" s="1"/>
  <c r="L16" i="26" l="1"/>
  <c r="M16" i="26"/>
  <c r="D20" i="26"/>
  <c r="C23" i="28"/>
  <c r="N16" i="26"/>
  <c r="L18" i="28"/>
  <c r="L19" i="28" s="1"/>
  <c r="C14" i="30"/>
  <c r="C15" i="29"/>
  <c r="F9" i="26"/>
  <c r="F14" i="26" s="1"/>
  <c r="O11" i="30"/>
  <c r="O9" i="29"/>
  <c r="O12" i="29" s="1"/>
  <c r="O9" i="28"/>
  <c r="O16" i="28" s="1"/>
  <c r="O9" i="27"/>
  <c r="O12" i="27" s="1"/>
  <c r="C14" i="26"/>
  <c r="C20" i="26" s="1"/>
  <c r="L20" i="28" l="1"/>
  <c r="O9" i="26"/>
  <c r="O14" i="26" s="1"/>
</calcChain>
</file>

<file path=xl/sharedStrings.xml><?xml version="1.0" encoding="utf-8"?>
<sst xmlns="http://schemas.openxmlformats.org/spreadsheetml/2006/main" count="190" uniqueCount="37">
  <si>
    <t>JAN</t>
  </si>
  <si>
    <t>Receitas</t>
  </si>
  <si>
    <t>Receitas Próprias</t>
  </si>
  <si>
    <t>Aplicação Financeira</t>
  </si>
  <si>
    <t>TOTAL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</si>
  <si>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</si>
  <si>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</si>
  <si>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</si>
  <si>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</si>
  <si>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</si>
  <si>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</si>
  <si>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</si>
  <si>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</si>
  <si>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</si>
  <si>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</si>
  <si>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</si>
  <si>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Custas Judiciais</t>
  </si>
  <si>
    <t>Custas Extrajudiciais</t>
  </si>
  <si>
    <t>UG: 040901 - FUNDO ESPECIAL DE MODERNIZAÇÃO E REAPARELHAMENTO DO JUDICIÁRIO</t>
  </si>
  <si>
    <t>Receita de Vale Transporte</t>
  </si>
  <si>
    <t>Exp. Econômia da Folha</t>
  </si>
  <si>
    <t>Emolumentos Extrajudiciais</t>
  </si>
  <si>
    <t>UG: 040903 - FUNDO ESPECIAL DAS SERVENTIAS DE REGISTRO CIVIL DE PESSOAS NATURAIS</t>
  </si>
  <si>
    <t>UG: 040904 - FUNDO ESPECIAL DE SEGURANÇA DA MAGISTRATURA DO ESTADO DO MARANHÃO</t>
  </si>
  <si>
    <t>UG: 040902 - FUNDO ESPECIAL DA ESCOLA SUPERIOR DA MAGISTRATURA DO ESTADO DO MARANHÃO</t>
  </si>
  <si>
    <t>Repasses Recebidos</t>
  </si>
  <si>
    <t>Custeio</t>
  </si>
  <si>
    <t>UG: 040101 - TRIBUNAL DE JUSTIÇA DO MARANHÃO</t>
  </si>
  <si>
    <t>Pessoal</t>
  </si>
  <si>
    <t>Precatórios</t>
  </si>
  <si>
    <t xml:space="preserve">  Total </t>
  </si>
  <si>
    <t>Custeio/Investimentos</t>
  </si>
  <si>
    <t>Leilão/Outras</t>
  </si>
  <si>
    <t>Receita Arrecadada</t>
  </si>
  <si>
    <t>Receita Orçamentária Prevista</t>
  </si>
  <si>
    <t>Orçamento Inicial</t>
  </si>
  <si>
    <t>Exercício: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</si>
</sst>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0">
    <xf numFmtId="0" fontId="0" fillId="0" borderId="0" xfId="0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vertical="center"/>
    </xf>
    <xf numFmtId="43" fontId="5" fillId="0" borderId="0" xfId="1" applyFont="1" applyAlignment="1">
      <alignment horizontal="left" vertical="center" inden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Fill="1" applyAlignment="1">
      <alignment vertical="center"/>
    </xf>
    <xf numFmtId="9" fontId="2" fillId="0" borderId="0" xfId="2" applyFont="1" applyAlignment="1">
      <alignment vertical="center"/>
    </xf>
    <xf numFmtId="49" fontId="8" fillId="0" borderId="0" xfId="1" applyNumberFormat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" fontId="11" fillId="0" borderId="0" xfId="0" applyNumberFormat="1" applyFont="1"/>
    <xf numFmtId="43" fontId="4" fillId="2" borderId="0" xfId="1" applyFont="1" applyFill="1" applyAlignment="1">
      <alignment vertical="center"/>
    </xf>
    <xf numFmtId="4" fontId="12" fillId="2" borderId="0" xfId="4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43" fontId="13" fillId="0" borderId="0" xfId="1" applyFont="1" applyAlignment="1">
      <alignment vertical="center"/>
    </xf>
    <xf numFmtId="43" fontId="14" fillId="3" borderId="1" xfId="1" applyNumberFormat="1" applyFont="1" applyFill="1" applyBorder="1" applyAlignment="1">
      <alignment horizontal="center" vertical="center"/>
    </xf>
    <xf numFmtId="43" fontId="14" fillId="3" borderId="2" xfId="1" applyNumberFormat="1" applyFont="1" applyFill="1" applyBorder="1" applyAlignment="1">
      <alignment horizontal="center" vertical="center"/>
    </xf>
    <xf numFmtId="43" fontId="14" fillId="3" borderId="3" xfId="1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vertical="center"/>
    </xf>
    <xf numFmtId="43" fontId="2" fillId="0" borderId="0" xfId="1" applyNumberFormat="1" applyFont="1" applyBorder="1" applyAlignment="1">
      <alignment vertical="center"/>
    </xf>
    <xf numFmtId="43" fontId="2" fillId="0" borderId="4" xfId="1" applyNumberFormat="1" applyFont="1" applyBorder="1" applyAlignment="1">
      <alignment vertical="center"/>
    </xf>
    <xf numFmtId="43" fontId="2" fillId="0" borderId="5" xfId="1" applyNumberFormat="1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</cellXfs>
  <cellStyles count="5">
    <cellStyle name="Normal" xfId="0" builtinId="0"/>
    <cellStyle name="Normal 4" xfId="3"/>
    <cellStyle name="Percentagem" xfId="2" builtinId="5"/>
    <cellStyle name="Vírgula" xfId="1" builtinId="3"/>
    <cellStyle name="Vírgula 2" xfId="4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6" name="Tabela356789101112131417" displayName="Tabela356789101112131417" ref="B8:O14" totalsRowCount="1" headerRowDxfId="154" dataDxfId="153" totalsRowDxfId="152" headerRowCellStyle="Vírgula" dataCellStyle="Vírgula" totalsRowCellStyle="Vírgula">
  <autoFilter ref="B8:O13"/>
  <tableColumns count="14">
    <tableColumn id="1" name="Receitas" totalsRowLabel="  Total " dataDxfId="151" totalsRowDxfId="150" dataCellStyle="Vírgula"/>
    <tableColumn id="2" name="JAN" totalsRowFunction="custom" dataDxfId="149" totalsRowDxfId="148" dataCellStyle="Vírgula">
      <totalsRowFormula>C9+C13</totalsRowFormula>
    </tableColumn>
    <tableColumn id="3" name="FEV" totalsRowFunction="custom" dataDxfId="147" totalsRowDxfId="146" dataCellStyle="Vírgula">
      <totalsRowFormula>D9+D13</totalsRowFormula>
    </tableColumn>
    <tableColumn id="4" name="MAR" totalsRowFunction="custom" dataDxfId="145" totalsRowDxfId="144" dataCellStyle="Vírgula">
      <totalsRowFormula>E9+E13</totalsRowFormula>
    </tableColumn>
    <tableColumn id="5" name="ABR" totalsRowFunction="custom" dataDxfId="143" totalsRowDxfId="142" dataCellStyle="Vírgula">
      <totalsRowFormula>F9+F13</totalsRowFormula>
    </tableColumn>
    <tableColumn id="6" name="MAI" totalsRowFunction="custom" dataDxfId="141" totalsRowDxfId="140" dataCellStyle="Vírgula">
      <totalsRowFormula>G9+G13</totalsRowFormula>
    </tableColumn>
    <tableColumn id="7" name="JUN" totalsRowFunction="custom" dataDxfId="139" totalsRowDxfId="138" dataCellStyle="Vírgula">
      <totalsRowFormula>H9+H13</totalsRowFormula>
    </tableColumn>
    <tableColumn id="8" name="JUL" totalsRowFunction="custom" dataDxfId="137" totalsRowDxfId="136" dataCellStyle="Vírgula">
      <totalsRowFormula>I9+I13</totalsRowFormula>
    </tableColumn>
    <tableColumn id="9" name="AGO" totalsRowFunction="custom" dataDxfId="135" totalsRowDxfId="134" dataCellStyle="Vírgula">
      <totalsRowFormula>J9+J13</totalsRowFormula>
    </tableColumn>
    <tableColumn id="14" name="SET" totalsRowFunction="custom" dataDxfId="133" totalsRowDxfId="132" dataCellStyle="Vírgula">
      <totalsRowFormula>K9+K13</totalsRowFormula>
    </tableColumn>
    <tableColumn id="10" name="OUT" totalsRowFunction="custom" dataDxfId="131" totalsRowDxfId="130" dataCellStyle="Vírgula">
      <totalsRowFormula>L9+L13</totalsRowFormula>
    </tableColumn>
    <tableColumn id="11" name="NOV" totalsRowFunction="custom" dataDxfId="129" totalsRowDxfId="128" dataCellStyle="Vírgula">
      <totalsRowFormula>M9+M13</totalsRowFormula>
    </tableColumn>
    <tableColumn id="12" name="DEZ" totalsRowFunction="custom" dataDxfId="127" totalsRowDxfId="126" dataCellStyle="Vírgula">
      <totalsRowFormula>N9+N13</totalsRowFormula>
    </tableColumn>
    <tableColumn id="13" name="TOTAL" totalsRowFunction="custom" dataDxfId="125" totalsRowDxfId="124" dataCellStyle="Vírgula">
      <calculatedColumnFormula>SUM(C9:N9)</calculatedColumnFormula>
      <totalsRowFormula>O9+O13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8" name="Tabela319" displayName="Tabela319" ref="B8:O16" totalsRowCount="1" headerRowDxfId="123" dataDxfId="122" totalsRowDxfId="121" headerRowCellStyle="Vírgula" dataCellStyle="Vírgula" totalsRowCellStyle="Vírgula">
  <autoFilter ref="B8:O15"/>
  <tableColumns count="14">
    <tableColumn id="1" name="Receitas" totalsRowLabel="  Total " dataDxfId="120" totalsRowDxfId="119" dataCellStyle="Vírgula"/>
    <tableColumn id="2" name="JAN" totalsRowFunction="custom" dataDxfId="118" totalsRowDxfId="117" dataCellStyle="Vírgula">
      <totalsRowFormula>C9+C12+C13+C14+C15</totalsRowFormula>
    </tableColumn>
    <tableColumn id="3" name="FEV" totalsRowFunction="custom" dataDxfId="116" totalsRowDxfId="115" dataCellStyle="Vírgula">
      <totalsRowFormula>D9+D12+D13+D14+D15</totalsRowFormula>
    </tableColumn>
    <tableColumn id="4" name="MAR" totalsRowFunction="custom" dataDxfId="114" totalsRowDxfId="113" dataCellStyle="Vírgula">
      <totalsRowFormula>E9+E12+E13+E14+E15</totalsRowFormula>
    </tableColumn>
    <tableColumn id="5" name="ABR" totalsRowFunction="custom" dataDxfId="112" totalsRowDxfId="111" dataCellStyle="Vírgula">
      <totalsRowFormula>F9+F12+F13+F14+F15</totalsRowFormula>
    </tableColumn>
    <tableColumn id="6" name="MAI" totalsRowFunction="custom" dataDxfId="110" totalsRowDxfId="109" dataCellStyle="Vírgula">
      <totalsRowFormula>G9+G12+G13+G14+G15</totalsRowFormula>
    </tableColumn>
    <tableColumn id="7" name="JUN" totalsRowFunction="custom" dataDxfId="108" totalsRowDxfId="107" dataCellStyle="Vírgula">
      <totalsRowFormula>H9+H12+H13+H14+H15</totalsRowFormula>
    </tableColumn>
    <tableColumn id="8" name="JUL" totalsRowFunction="custom" dataDxfId="106" totalsRowDxfId="105" dataCellStyle="Vírgula">
      <totalsRowFormula>I9+I12+I13+I14+I15</totalsRowFormula>
    </tableColumn>
    <tableColumn id="9" name="AGO" totalsRowFunction="custom" dataDxfId="104" totalsRowDxfId="103" dataCellStyle="Vírgula">
      <totalsRowFormula>J9+J12+J13+J14+J15</totalsRowFormula>
    </tableColumn>
    <tableColumn id="14" name="SET" totalsRowFunction="custom" dataDxfId="102" totalsRowDxfId="101" dataCellStyle="Vírgula">
      <totalsRowFormula>K9+K12+K13+K14+K15</totalsRowFormula>
    </tableColumn>
    <tableColumn id="10" name="OUT" totalsRowFunction="custom" dataDxfId="100" totalsRowDxfId="99" dataCellStyle="Vírgula">
      <totalsRowFormula>L9+L12+L13+L14+L15</totalsRowFormula>
    </tableColumn>
    <tableColumn id="11" name="NOV" totalsRowFunction="custom" dataDxfId="98" totalsRowDxfId="97" dataCellStyle="Vírgula">
      <totalsRowFormula>M9+M12+M13+M14+M15</totalsRowFormula>
    </tableColumn>
    <tableColumn id="12" name="DEZ" totalsRowFunction="custom" dataDxfId="96" totalsRowDxfId="95" dataCellStyle="Vírgula">
      <totalsRowFormula>N9+N12+N13+N14+N15</totalsRowFormula>
    </tableColumn>
    <tableColumn id="13" name="TOTAL" totalsRowFunction="custom" dataDxfId="94" totalsRowDxfId="93" dataCellStyle="Vírgula">
      <calculatedColumnFormula>SUM(C9:N9)</calculatedColumnFormula>
      <totalsRowFormula>O9+O12+O13+O14+O15</totalsRow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17" name="Tabela356789101118" displayName="Tabela356789101118" ref="B8:O12" totalsRowCount="1" headerRowDxfId="92" dataDxfId="91" totalsRowDxfId="90" headerRowCellStyle="Vírgula" dataCellStyle="Vírgula" totalsRowCellStyle="Vírgula">
  <autoFilter ref="B8:O11"/>
  <tableColumns count="14">
    <tableColumn id="1" name="Receitas" totalsRowLabel="  Total " dataDxfId="89" totalsRowDxfId="88" dataCellStyle="Vírgula"/>
    <tableColumn id="2" name="JAN" totalsRowFunction="custom" dataDxfId="87" totalsRowDxfId="86" dataCellStyle="Vírgula">
      <totalsRowFormula>C9+C11</totalsRowFormula>
    </tableColumn>
    <tableColumn id="3" name="FEV" totalsRowFunction="custom" dataDxfId="85" totalsRowDxfId="84" dataCellStyle="Vírgula">
      <totalsRowFormula>D9+D11</totalsRowFormula>
    </tableColumn>
    <tableColumn id="4" name="MAR" totalsRowFunction="custom" dataDxfId="83" totalsRowDxfId="82" dataCellStyle="Vírgula">
      <totalsRowFormula>E9+E11</totalsRowFormula>
    </tableColumn>
    <tableColumn id="5" name="ABR" totalsRowFunction="custom" dataDxfId="81" totalsRowDxfId="80" dataCellStyle="Vírgula">
      <totalsRowFormula>F9+F11</totalsRowFormula>
    </tableColumn>
    <tableColumn id="6" name="MAI" totalsRowFunction="custom" dataDxfId="79" totalsRowDxfId="78" dataCellStyle="Vírgula">
      <totalsRowFormula>G9+G11</totalsRowFormula>
    </tableColumn>
    <tableColumn id="7" name="JUN" totalsRowFunction="custom" dataDxfId="77" totalsRowDxfId="76" dataCellStyle="Vírgula">
      <totalsRowFormula>H9+H11</totalsRowFormula>
    </tableColumn>
    <tableColumn id="8" name="JUL" totalsRowFunction="custom" dataDxfId="75" totalsRowDxfId="74" dataCellStyle="Vírgula">
      <totalsRowFormula>I9+I11</totalsRowFormula>
    </tableColumn>
    <tableColumn id="9" name="AGO" totalsRowFunction="custom" dataDxfId="73" totalsRowDxfId="72" dataCellStyle="Vírgula">
      <totalsRowFormula>J9+J11</totalsRowFormula>
    </tableColumn>
    <tableColumn id="14" name="SET" totalsRowFunction="custom" dataDxfId="71" totalsRowDxfId="70" dataCellStyle="Vírgula">
      <totalsRowFormula>K9+K11</totalsRowFormula>
    </tableColumn>
    <tableColumn id="10" name="OUT" totalsRowFunction="custom" dataDxfId="69" totalsRowDxfId="68" dataCellStyle="Vírgula">
      <totalsRowFormula>L9+L11</totalsRowFormula>
    </tableColumn>
    <tableColumn id="11" name="NOV" totalsRowFunction="custom" dataDxfId="67" totalsRowDxfId="66" dataCellStyle="Vírgula">
      <totalsRowFormula>M9+M11</totalsRowFormula>
    </tableColumn>
    <tableColumn id="12" name="DEZ" totalsRowFunction="custom" dataDxfId="65" totalsRowDxfId="64" dataCellStyle="Vírgula">
      <totalsRowFormula>N9+N11</totalsRowFormula>
    </tableColumn>
    <tableColumn id="13" name="TOTAL" totalsRowFunction="custom" dataDxfId="63" totalsRowDxfId="62" dataCellStyle="Vírgula">
      <calculatedColumnFormula>SUM(C9:N9)</calculatedColumnFormula>
      <totalsRowFormula>O9+O11</totalsRow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19" name="Tabela3520" displayName="Tabela3520" ref="B8:O12" totalsRowCount="1" headerRowDxfId="61" dataDxfId="60" totalsRowDxfId="59" headerRowCellStyle="Vírgula" dataCellStyle="Vírgula" totalsRowCellStyle="Vírgula">
  <autoFilter ref="B8:O11"/>
  <tableColumns count="14">
    <tableColumn id="1" name="Receitas" totalsRowLabel="  Total " dataDxfId="58" totalsRowDxfId="57" dataCellStyle="Vírgula"/>
    <tableColumn id="2" name="JAN" totalsRowFunction="custom" dataDxfId="56" totalsRowDxfId="55" dataCellStyle="Vírgula">
      <totalsRowFormula>C9+C11</totalsRowFormula>
    </tableColumn>
    <tableColumn id="3" name="FEV" totalsRowFunction="custom" dataDxfId="54" totalsRowDxfId="53" dataCellStyle="Vírgula">
      <totalsRowFormula>D9+D11</totalsRowFormula>
    </tableColumn>
    <tableColumn id="4" name="MAR" totalsRowFunction="custom" dataDxfId="52" totalsRowDxfId="51" dataCellStyle="Vírgula">
      <totalsRowFormula>E9+E11</totalsRowFormula>
    </tableColumn>
    <tableColumn id="5" name="ABR" totalsRowFunction="custom" dataDxfId="50" totalsRowDxfId="49" dataCellStyle="Vírgula">
      <totalsRowFormula>F9+F11</totalsRowFormula>
    </tableColumn>
    <tableColumn id="6" name="MAI" totalsRowFunction="custom" dataDxfId="48" totalsRowDxfId="47" dataCellStyle="Vírgula">
      <totalsRowFormula>G9+G11</totalsRowFormula>
    </tableColumn>
    <tableColumn id="7" name="JUN" totalsRowFunction="custom" dataDxfId="46" totalsRowDxfId="45" dataCellStyle="Vírgula">
      <totalsRowFormula>H9+H11</totalsRowFormula>
    </tableColumn>
    <tableColumn id="8" name="JUL" totalsRowFunction="custom" dataDxfId="44" totalsRowDxfId="43" dataCellStyle="Vírgula">
      <totalsRowFormula>I9+I11</totalsRowFormula>
    </tableColumn>
    <tableColumn id="9" name="AGO" totalsRowFunction="custom" dataDxfId="42" totalsRowDxfId="41" dataCellStyle="Vírgula">
      <totalsRowFormula>J9+J11</totalsRowFormula>
    </tableColumn>
    <tableColumn id="14" name="SET" totalsRowFunction="custom" dataDxfId="40" totalsRowDxfId="39" dataCellStyle="Vírgula">
      <totalsRowFormula>K9+K11</totalsRowFormula>
    </tableColumn>
    <tableColumn id="10" name="OUT" totalsRowFunction="custom" dataDxfId="38" totalsRowDxfId="37" dataCellStyle="Vírgula">
      <totalsRowFormula>L9+L11</totalsRowFormula>
    </tableColumn>
    <tableColumn id="11" name="NOV" totalsRowFunction="custom" dataDxfId="36" totalsRowDxfId="35" dataCellStyle="Vírgula">
      <totalsRowFormula>M9+M11</totalsRowFormula>
    </tableColumn>
    <tableColumn id="12" name="DEZ" totalsRowFunction="custom" dataDxfId="34" totalsRowDxfId="33" dataCellStyle="Vírgula">
      <totalsRowFormula>N9+N11</totalsRowFormula>
    </tableColumn>
    <tableColumn id="13" name="TOTAL" totalsRowFunction="custom" dataDxfId="32" totalsRowDxfId="31" dataCellStyle="Vírgula">
      <calculatedColumnFormula>SUM(C9:N9)</calculatedColumnFormula>
      <totalsRowFormula>O9+O11</totalsRow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20" name="Tabela3567821" displayName="Tabela3567821" ref="B8:O11" totalsRowCount="1" headerRowDxfId="30" dataDxfId="29" totalsRowDxfId="28" headerRowCellStyle="Vírgula" dataCellStyle="Vírgula" totalsRowCellStyle="Vírgula">
  <autoFilter ref="B8:O10"/>
  <tableColumns count="14">
    <tableColumn id="1" name="Receitas" totalsRowLabel="  Total " dataDxfId="27" totalsRowDxfId="26" dataCellStyle="Vírgula"/>
    <tableColumn id="2" name="JAN" totalsRowFunction="custom" dataDxfId="25" totalsRowDxfId="24" dataCellStyle="Vírgula">
      <totalsRowFormula>C9+C10</totalsRowFormula>
    </tableColumn>
    <tableColumn id="3" name="FEV" totalsRowFunction="custom" dataDxfId="23" totalsRowDxfId="22" dataCellStyle="Vírgula">
      <totalsRowFormula>D9+D10</totalsRowFormula>
    </tableColumn>
    <tableColumn id="4" name="MAR" totalsRowFunction="custom" dataDxfId="21" totalsRowDxfId="20" dataCellStyle="Vírgula">
      <totalsRowFormula>E9+E10</totalsRowFormula>
    </tableColumn>
    <tableColumn id="5" name="ABR" totalsRowFunction="custom" dataDxfId="19" totalsRowDxfId="18" dataCellStyle="Vírgula">
      <totalsRowFormula>F9+F10</totalsRowFormula>
    </tableColumn>
    <tableColumn id="6" name="MAI" totalsRowFunction="custom" dataDxfId="17" totalsRowDxfId="16" dataCellStyle="Vírgula">
      <totalsRowFormula>G9+G10</totalsRowFormula>
    </tableColumn>
    <tableColumn id="7" name="JUN" totalsRowFunction="custom" dataDxfId="15" totalsRowDxfId="14" dataCellStyle="Vírgula">
      <totalsRowFormula>H9+H10</totalsRowFormula>
    </tableColumn>
    <tableColumn id="8" name="JUL" totalsRowFunction="custom" dataDxfId="13" totalsRowDxfId="12" dataCellStyle="Vírgula">
      <totalsRowFormula>I9+I10</totalsRowFormula>
    </tableColumn>
    <tableColumn id="9" name="AGO" totalsRowFunction="custom" dataDxfId="11" totalsRowDxfId="10" dataCellStyle="Vírgula">
      <totalsRowFormula>J9+J10</totalsRowFormula>
    </tableColumn>
    <tableColumn id="14" name="SET" totalsRowFunction="custom" dataDxfId="9" totalsRowDxfId="8" dataCellStyle="Vírgula">
      <totalsRowFormula>K9+K10</totalsRowFormula>
    </tableColumn>
    <tableColumn id="10" name="OUT" totalsRowFunction="custom" dataDxfId="7" totalsRowDxfId="6" dataCellStyle="Vírgula">
      <totalsRowFormula>L9+L10</totalsRowFormula>
    </tableColumn>
    <tableColumn id="11" name="NOV" totalsRowFunction="custom" dataDxfId="5" totalsRowDxfId="4" dataCellStyle="Vírgula">
      <totalsRowFormula>M9+M10</totalsRowFormula>
    </tableColumn>
    <tableColumn id="12" name="DEZ" totalsRowFunction="custom" dataDxfId="3" totalsRowDxfId="2" dataCellStyle="Vírgula">
      <totalsRowFormula>N9+N10</totalsRowFormula>
    </tableColumn>
    <tableColumn id="13" name="TOTAL" totalsRowFunction="custom" dataDxfId="1" totalsRowDxfId="0" dataCellStyle="Vírgula">
      <calculatedColumnFormula>SUM(C9:N9)</calculatedColumnFormula>
      <totalsRowFormula>O9+O10</totalsRow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showGridLines="0" tabSelected="1" zoomScale="93" zoomScaleNormal="93" workbookViewId="0">
      <pane xSplit="2" ySplit="8" topLeftCell="C9" activePane="bottomRight" state="frozen"/>
      <selection activeCell="C21" sqref="C21"/>
      <selection pane="topRight" activeCell="C21" sqref="C21"/>
      <selection pane="bottomLeft" activeCell="C21" sqref="C21"/>
      <selection pane="bottomRight" activeCell="O6" sqref="O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11" width="19.140625" style="2" bestFit="1" customWidth="1"/>
    <col min="12" max="12" width="19.28515625" style="2" customWidth="1"/>
    <col min="13" max="13" width="18.85546875" style="2" customWidth="1"/>
    <col min="14" max="14" width="19.140625" style="2" bestFit="1" customWidth="1"/>
    <col min="15" max="15" width="21" style="2" bestFit="1" customWidth="1"/>
    <col min="16" max="16" width="9.140625" style="2"/>
    <col min="17" max="17" width="13.85546875" style="2" bestFit="1" customWidth="1"/>
    <col min="18" max="16384" width="9.140625" style="2"/>
  </cols>
  <sheetData>
    <row r="1" spans="2:17" ht="23.1" customHeight="1" x14ac:dyDescent="0.25">
      <c r="B1" s="7" t="s">
        <v>36</v>
      </c>
    </row>
    <row r="2" spans="2:17" ht="23.1" customHeight="1" x14ac:dyDescent="0.25">
      <c r="B2" s="7" t="s">
        <v>27</v>
      </c>
    </row>
    <row r="3" spans="2:17" ht="23.1" customHeight="1" x14ac:dyDescent="0.25">
      <c r="B3" s="7" t="s">
        <v>34</v>
      </c>
    </row>
    <row r="4" spans="2:17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7" ht="23.1" customHeight="1" x14ac:dyDescent="0.25">
      <c r="B5" s="27" t="s">
        <v>35</v>
      </c>
      <c r="C5" s="28">
        <f>$O$5/12</f>
        <v>101610123.75</v>
      </c>
      <c r="D5" s="28">
        <f t="shared" ref="D5:N5" si="0">$O$5/12</f>
        <v>101610123.75</v>
      </c>
      <c r="E5" s="28">
        <f t="shared" si="0"/>
        <v>101610123.75</v>
      </c>
      <c r="F5" s="28">
        <f t="shared" si="0"/>
        <v>101610123.75</v>
      </c>
      <c r="G5" s="28">
        <f t="shared" si="0"/>
        <v>101610123.75</v>
      </c>
      <c r="H5" s="28">
        <f t="shared" si="0"/>
        <v>101610123.75</v>
      </c>
      <c r="I5" s="28">
        <f t="shared" si="0"/>
        <v>101610123.75</v>
      </c>
      <c r="J5" s="28">
        <f t="shared" si="0"/>
        <v>101610123.75</v>
      </c>
      <c r="K5" s="28">
        <f t="shared" si="0"/>
        <v>101610123.75</v>
      </c>
      <c r="L5" s="28">
        <f t="shared" si="0"/>
        <v>101610123.75</v>
      </c>
      <c r="M5" s="28">
        <f t="shared" si="0"/>
        <v>101610123.75</v>
      </c>
      <c r="N5" s="28">
        <f t="shared" si="0"/>
        <v>101610123.75</v>
      </c>
      <c r="O5" s="29">
        <f>1197357485+21964000</f>
        <v>1219321485</v>
      </c>
    </row>
    <row r="6" spans="2:17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7" ht="23.1" customHeight="1" x14ac:dyDescent="0.25">
      <c r="B7" s="7" t="s">
        <v>33</v>
      </c>
    </row>
    <row r="8" spans="2:17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7" ht="18" customHeight="1" x14ac:dyDescent="0.25">
      <c r="B9" s="2" t="s">
        <v>25</v>
      </c>
      <c r="C9" s="2">
        <f t="shared" ref="C9:N9" si="1">SUM(C10:C12)</f>
        <v>84308432.799999997</v>
      </c>
      <c r="D9" s="2">
        <f t="shared" si="1"/>
        <v>95554548</v>
      </c>
      <c r="E9" s="2">
        <f t="shared" si="1"/>
        <v>86918184</v>
      </c>
      <c r="F9" s="2">
        <f t="shared" si="1"/>
        <v>85668184</v>
      </c>
      <c r="G9" s="2">
        <f>SUM(G10:G12)</f>
        <v>99531820</v>
      </c>
      <c r="H9" s="2">
        <f t="shared" si="1"/>
        <v>86918184</v>
      </c>
      <c r="I9" s="2">
        <f>SUM(I10:I12)</f>
        <v>84439061.040000007</v>
      </c>
      <c r="J9" s="2">
        <f t="shared" si="1"/>
        <v>89379638.450000003</v>
      </c>
      <c r="K9" s="2">
        <f t="shared" si="1"/>
        <v>86952948.489999995</v>
      </c>
      <c r="L9" s="2">
        <f t="shared" si="1"/>
        <v>86856424.269999996</v>
      </c>
      <c r="M9" s="2">
        <f t="shared" si="1"/>
        <v>84146514.700000003</v>
      </c>
      <c r="N9" s="2">
        <f t="shared" si="1"/>
        <v>84153165.030000001</v>
      </c>
      <c r="O9" s="2">
        <f>SUM(C9:N9)</f>
        <v>1054827104.78</v>
      </c>
    </row>
    <row r="10" spans="2:17" s="8" customFormat="1" ht="18" customHeight="1" x14ac:dyDescent="0.25">
      <c r="B10" s="6" t="s">
        <v>31</v>
      </c>
      <c r="C10" s="8">
        <v>14983434</v>
      </c>
      <c r="D10" s="8">
        <v>14983434</v>
      </c>
      <c r="E10" s="8">
        <v>14983434</v>
      </c>
      <c r="F10" s="8">
        <v>14983434</v>
      </c>
      <c r="G10" s="8">
        <v>14983434</v>
      </c>
      <c r="H10" s="8">
        <v>14983434</v>
      </c>
      <c r="I10" s="8">
        <v>14983434</v>
      </c>
      <c r="J10" s="8">
        <v>14983434</v>
      </c>
      <c r="K10" s="8">
        <v>14983414</v>
      </c>
      <c r="L10" s="8">
        <v>14983141</v>
      </c>
      <c r="M10" s="8">
        <v>14983434</v>
      </c>
      <c r="N10" s="8">
        <v>14983434</v>
      </c>
      <c r="O10" s="8">
        <f>SUM(C10:N10)</f>
        <v>179800895</v>
      </c>
      <c r="Q10" s="20">
        <f>8099473.02+6721693.66</f>
        <v>14821166.68</v>
      </c>
    </row>
    <row r="11" spans="2:17" s="8" customFormat="1" ht="18" customHeight="1" x14ac:dyDescent="0.25">
      <c r="B11" s="6" t="s">
        <v>28</v>
      </c>
      <c r="C11" s="8">
        <v>69324998.799999997</v>
      </c>
      <c r="D11" s="8">
        <v>70571114</v>
      </c>
      <c r="E11" s="8">
        <v>71934750</v>
      </c>
      <c r="F11" s="8">
        <v>70684750</v>
      </c>
      <c r="G11" s="8">
        <v>74548386</v>
      </c>
      <c r="H11" s="8">
        <v>71934750</v>
      </c>
      <c r="I11" s="8">
        <v>69455627.040000007</v>
      </c>
      <c r="J11" s="8">
        <v>74396204.450000003</v>
      </c>
      <c r="K11" s="8">
        <v>71969534.489999995</v>
      </c>
      <c r="L11" s="8">
        <v>71873283.269999996</v>
      </c>
      <c r="M11" s="8">
        <v>69163080.700000003</v>
      </c>
      <c r="N11" s="8">
        <v>69169731.030000001</v>
      </c>
      <c r="O11" s="8">
        <f>SUM(C11:N11)</f>
        <v>855026209.78000009</v>
      </c>
      <c r="Q11" s="20">
        <f>45000000+53774333.03</f>
        <v>98774333.030000001</v>
      </c>
    </row>
    <row r="12" spans="2:17" s="8" customFormat="1" ht="16.5" x14ac:dyDescent="0.25">
      <c r="B12" s="6" t="s">
        <v>29</v>
      </c>
      <c r="C12" s="8">
        <v>0</v>
      </c>
      <c r="D12" s="8">
        <v>10000000</v>
      </c>
      <c r="E12" s="8">
        <v>0</v>
      </c>
      <c r="F12" s="17">
        <v>0</v>
      </c>
      <c r="G12" s="8">
        <v>10000000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2">
        <f>SUM(C12:N12)</f>
        <v>20000000</v>
      </c>
    </row>
    <row r="13" spans="2:17" ht="18" customHeight="1" x14ac:dyDescent="0.25">
      <c r="B13" s="2" t="s">
        <v>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472975.55</v>
      </c>
      <c r="J13" s="2">
        <v>651702.61</v>
      </c>
      <c r="K13" s="2">
        <v>573139.1</v>
      </c>
      <c r="L13" s="2">
        <v>642432.46</v>
      </c>
      <c r="M13" s="2">
        <v>519867.08</v>
      </c>
      <c r="N13" s="2">
        <v>384953.19</v>
      </c>
      <c r="O13" s="2">
        <f>SUM(C13:N13)</f>
        <v>3245069.9899999998</v>
      </c>
    </row>
    <row r="14" spans="2:17" ht="23.1" customHeight="1" x14ac:dyDescent="0.25">
      <c r="B14" s="24" t="s">
        <v>30</v>
      </c>
      <c r="C14" s="25">
        <f t="shared" ref="C14:O14" si="2">C9+C13</f>
        <v>84308432.799999997</v>
      </c>
      <c r="D14" s="25">
        <f t="shared" si="2"/>
        <v>95554548</v>
      </c>
      <c r="E14" s="25">
        <f t="shared" si="2"/>
        <v>86918184</v>
      </c>
      <c r="F14" s="25">
        <f t="shared" si="2"/>
        <v>85668184</v>
      </c>
      <c r="G14" s="25">
        <f>G9+G13</f>
        <v>99531820</v>
      </c>
      <c r="H14" s="25">
        <f t="shared" si="2"/>
        <v>86918184</v>
      </c>
      <c r="I14" s="25">
        <f t="shared" si="2"/>
        <v>84912036.590000004</v>
      </c>
      <c r="J14" s="25">
        <f t="shared" si="2"/>
        <v>90031341.060000002</v>
      </c>
      <c r="K14" s="25">
        <f t="shared" si="2"/>
        <v>87526087.589999989</v>
      </c>
      <c r="L14" s="25">
        <f t="shared" si="2"/>
        <v>87498856.729999989</v>
      </c>
      <c r="M14" s="25">
        <f t="shared" si="2"/>
        <v>84666381.780000001</v>
      </c>
      <c r="N14" s="25">
        <f t="shared" si="2"/>
        <v>84538118.219999999</v>
      </c>
      <c r="O14" s="25">
        <f t="shared" si="2"/>
        <v>1058072174.77</v>
      </c>
    </row>
    <row r="16" spans="2:17" ht="23.1" customHeight="1" x14ac:dyDescent="0.25">
      <c r="B16" s="12"/>
      <c r="C16" s="13"/>
      <c r="D16" s="13"/>
      <c r="E16" s="13"/>
      <c r="F16" s="13"/>
      <c r="G16" s="13"/>
      <c r="H16" s="14"/>
      <c r="I16" s="14"/>
      <c r="J16" s="13"/>
      <c r="K16" s="13"/>
      <c r="L16" s="13">
        <f>Tabela356789101112131417[[#Totals],[OUT]]+Tabela356789101118[[#Totals],[OUT]]+Tabela319[[#Totals],[OUT]]+Tabela3520[[#Totals],[OUT]]+Tabela3567821[[#Totals],[OUT]]</f>
        <v>105945117.11999999</v>
      </c>
      <c r="M16" s="13">
        <f>Tabela356789101112131417[[#Totals],[NOV]]+Tabela356789101118[[#Totals],[NOV]]+Tabela319[[#Totals],[NOV]]+Tabela3520[[#Totals],[NOV]]+Tabela3567821[[#Totals],[NOV]]</f>
        <v>98469227.179999992</v>
      </c>
      <c r="N16" s="13">
        <f>Tabela356789101112131417[[#Totals],[DEZ]]+Tabela356789101118[[#Totals],[DEZ]]+Tabela319[[#Totals],[DEZ]]+Tabela3520[[#Totals],[DEZ]]+Tabela3567821[[#Totals],[DEZ]]</f>
        <v>98111116.069999993</v>
      </c>
      <c r="O16" s="13">
        <v>185090000</v>
      </c>
    </row>
    <row r="17" spans="3:15" ht="23.1" customHeight="1" x14ac:dyDescent="0.25"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>
        <f>O16-O12</f>
        <v>165090000</v>
      </c>
    </row>
    <row r="18" spans="3:15" ht="23.1" customHeight="1" x14ac:dyDescent="0.25">
      <c r="D18" s="13"/>
      <c r="E18" s="15"/>
      <c r="F18" s="13"/>
      <c r="G18" s="13"/>
      <c r="H18" s="13"/>
      <c r="I18" s="14"/>
      <c r="J18" s="13"/>
      <c r="K18" s="13"/>
      <c r="L18" s="13"/>
      <c r="M18" s="15"/>
      <c r="N18" s="13"/>
      <c r="O18" s="13"/>
    </row>
    <row r="19" spans="3:15" ht="23.1" customHeight="1" x14ac:dyDescent="0.25">
      <c r="D19" s="13"/>
      <c r="E19" s="13"/>
      <c r="F19" s="13"/>
      <c r="G19" s="13"/>
      <c r="H19" s="13"/>
      <c r="I19" s="13"/>
      <c r="J19" s="13">
        <v>39446796</v>
      </c>
      <c r="K19" s="13"/>
      <c r="L19" s="13"/>
      <c r="M19" s="13"/>
      <c r="N19" s="13"/>
      <c r="O19" s="13"/>
    </row>
    <row r="20" spans="3:15" ht="23.1" customHeight="1" x14ac:dyDescent="0.25">
      <c r="C20" s="13">
        <f>Tabela356789101112131417[[#Totals],[JAN]]+Tabela319[[#Totals],[JAN]]+Tabela356789101118[[#Totals],[JAN]]+Tabela3520[[#Totals],[JAN]]+Tabela3567821[[#Totals],[JAN]]</f>
        <v>98008366.480000004</v>
      </c>
      <c r="D20" s="13">
        <f>Tabela356789101112131417[[#Totals],[FEV]]+Tabela319[[#Totals],[FEV]]+Tabela356789101118[[#Totals],[FEV]]+Tabela3520[[#Totals],[FEV]]+Tabela3567821[[#Totals],[FEV]]</f>
        <v>105892374.14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184679047.99000001</v>
      </c>
    </row>
    <row r="21" spans="3:15" ht="23.1" customHeight="1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3:15" ht="23.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3:15" ht="23.1" customHeight="1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6"/>
      <c r="M23" s="13"/>
      <c r="N23" s="13"/>
      <c r="O23" s="13"/>
    </row>
    <row r="24" spans="3:15" ht="23.1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3:15" ht="23.1" customHeigh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3:15" ht="23.1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O9 O11 O10 O13 O12" calculatedColumn="1"/>
    <ignoredError sqref="H9 C9 D9:F9 J9:N9" formulaRange="1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showGridLines="0" topLeftCell="B1" zoomScaleNormal="100" workbookViewId="0">
      <pane xSplit="1" ySplit="8" topLeftCell="C9" activePane="bottomRight" state="frozen"/>
      <selection activeCell="B2" sqref="B2"/>
      <selection pane="topRight" activeCell="B2" sqref="B2"/>
      <selection pane="bottomLeft" activeCell="B2" sqref="B2"/>
      <selection pane="bottomRight" activeCell="N16" sqref="N1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7.28515625" style="2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21" style="2" bestFit="1" customWidth="1"/>
    <col min="16" max="16384" width="9.140625" style="2"/>
  </cols>
  <sheetData>
    <row r="1" spans="2:15" ht="23.1" customHeight="1" x14ac:dyDescent="0.25">
      <c r="B1" s="7" t="s">
        <v>36</v>
      </c>
    </row>
    <row r="2" spans="2:15" ht="23.1" customHeight="1" x14ac:dyDescent="0.25">
      <c r="B2" s="7" t="s">
        <v>18</v>
      </c>
    </row>
    <row r="3" spans="2:15" ht="23.1" customHeight="1" x14ac:dyDescent="0.25">
      <c r="B3" s="7" t="s">
        <v>34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35</v>
      </c>
      <c r="C5" s="28">
        <f>$O$5/12</f>
        <v>10028000</v>
      </c>
      <c r="D5" s="28">
        <f t="shared" ref="D5:N5" si="0">$O$5/12</f>
        <v>10028000</v>
      </c>
      <c r="E5" s="28">
        <f t="shared" si="0"/>
        <v>10028000</v>
      </c>
      <c r="F5" s="28">
        <f t="shared" si="0"/>
        <v>10028000</v>
      </c>
      <c r="G5" s="28">
        <f t="shared" si="0"/>
        <v>10028000</v>
      </c>
      <c r="H5" s="28">
        <f t="shared" si="0"/>
        <v>10028000</v>
      </c>
      <c r="I5" s="28">
        <f t="shared" si="0"/>
        <v>10028000</v>
      </c>
      <c r="J5" s="28">
        <f t="shared" si="0"/>
        <v>10028000</v>
      </c>
      <c r="K5" s="28">
        <f t="shared" si="0"/>
        <v>10028000</v>
      </c>
      <c r="L5" s="28">
        <f t="shared" si="0"/>
        <v>10028000</v>
      </c>
      <c r="M5" s="28">
        <f t="shared" si="0"/>
        <v>10028000</v>
      </c>
      <c r="N5" s="28">
        <f t="shared" si="0"/>
        <v>10028000</v>
      </c>
      <c r="O5" s="29">
        <v>120336000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33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f t="shared" ref="C9:N9" si="1">SUM(C10:C11)</f>
        <v>11733441.58</v>
      </c>
      <c r="D9" s="2">
        <f t="shared" si="1"/>
        <v>8544301.0199999996</v>
      </c>
      <c r="E9" s="2">
        <f t="shared" si="1"/>
        <v>7957444.1299999999</v>
      </c>
      <c r="F9" s="2">
        <f t="shared" si="1"/>
        <v>13249337.390000001</v>
      </c>
      <c r="G9" s="2">
        <f t="shared" si="1"/>
        <v>10544692.890000001</v>
      </c>
      <c r="H9" s="2">
        <f t="shared" si="1"/>
        <v>9129600.0999999996</v>
      </c>
      <c r="I9" s="2">
        <f t="shared" si="1"/>
        <v>14343280.719999999</v>
      </c>
      <c r="J9" s="2">
        <f t="shared" si="1"/>
        <v>9867947.5399999991</v>
      </c>
      <c r="K9" s="2">
        <f t="shared" si="1"/>
        <v>10283565.720000001</v>
      </c>
      <c r="L9" s="2">
        <f t="shared" si="1"/>
        <v>15978453.579999998</v>
      </c>
      <c r="M9" s="2">
        <f t="shared" si="1"/>
        <v>11594868.82</v>
      </c>
      <c r="N9" s="2">
        <f t="shared" si="1"/>
        <v>11329494.83</v>
      </c>
      <c r="O9" s="2">
        <f t="shared" ref="O9:O15" si="2">SUM(C9:N9)</f>
        <v>134556428.32000002</v>
      </c>
    </row>
    <row r="10" spans="2:15" s="8" customFormat="1" ht="18" customHeight="1" x14ac:dyDescent="0.25">
      <c r="B10" s="6" t="s">
        <v>16</v>
      </c>
      <c r="C10" s="17">
        <v>4768166.63</v>
      </c>
      <c r="D10" s="8">
        <v>5259543.2300000004</v>
      </c>
      <c r="E10" s="10">
        <v>5002254.09</v>
      </c>
      <c r="F10" s="8">
        <v>5874756.2000000002</v>
      </c>
      <c r="G10" s="8">
        <v>7002730.5499999998</v>
      </c>
      <c r="H10" s="8">
        <v>5816468.2199999997</v>
      </c>
      <c r="I10" s="8">
        <v>6656716.5800000001</v>
      </c>
      <c r="J10" s="8">
        <v>6061880.1699999999</v>
      </c>
      <c r="K10" s="8">
        <v>6331591.4100000001</v>
      </c>
      <c r="L10" s="8">
        <v>8542081.2799999993</v>
      </c>
      <c r="M10" s="8">
        <v>8361059.9100000001</v>
      </c>
      <c r="N10" s="8">
        <v>8169698.7199999997</v>
      </c>
      <c r="O10" s="8">
        <f t="shared" si="2"/>
        <v>77846946.989999995</v>
      </c>
    </row>
    <row r="11" spans="2:15" s="8" customFormat="1" ht="18" customHeight="1" x14ac:dyDescent="0.25">
      <c r="B11" s="6" t="s">
        <v>17</v>
      </c>
      <c r="C11" s="8">
        <v>6965274.9500000002</v>
      </c>
      <c r="D11" s="8">
        <v>3284757.79</v>
      </c>
      <c r="E11" s="10">
        <v>2955190.04</v>
      </c>
      <c r="F11" s="8">
        <v>7374581.1900000004</v>
      </c>
      <c r="G11" s="8">
        <v>3541962.34</v>
      </c>
      <c r="H11" s="8">
        <v>3313131.88</v>
      </c>
      <c r="I11" s="8">
        <v>7686564.1399999997</v>
      </c>
      <c r="J11" s="8">
        <v>3806067.37</v>
      </c>
      <c r="K11" s="8">
        <v>3951974.31</v>
      </c>
      <c r="L11" s="8">
        <v>7436372.2999999998</v>
      </c>
      <c r="M11" s="8">
        <v>3233808.91</v>
      </c>
      <c r="N11" s="8">
        <v>3159796.11</v>
      </c>
      <c r="O11" s="8">
        <f t="shared" si="2"/>
        <v>56709481.329999998</v>
      </c>
    </row>
    <row r="12" spans="2:15" ht="18" customHeight="1" x14ac:dyDescent="0.25">
      <c r="B12" s="2" t="s">
        <v>3</v>
      </c>
      <c r="C12" s="2">
        <v>254381.1</v>
      </c>
      <c r="D12" s="2">
        <v>250418.81</v>
      </c>
      <c r="E12" s="2">
        <v>218621.74</v>
      </c>
      <c r="F12" s="2">
        <v>242622.84</v>
      </c>
      <c r="G12" s="2">
        <v>237781.92</v>
      </c>
      <c r="H12" s="2">
        <v>196842.76</v>
      </c>
      <c r="I12" s="2">
        <v>315050.46000000002</v>
      </c>
      <c r="J12" s="2">
        <v>286514.3</v>
      </c>
      <c r="K12" s="2">
        <v>257101.65</v>
      </c>
      <c r="L12" s="2">
        <v>287835.48</v>
      </c>
      <c r="M12" s="2">
        <v>292924.45</v>
      </c>
      <c r="N12" s="2">
        <v>285383.15000000002</v>
      </c>
      <c r="O12" s="2">
        <f t="shared" si="2"/>
        <v>3125478.66</v>
      </c>
    </row>
    <row r="13" spans="2:15" ht="18" customHeight="1" x14ac:dyDescent="0.25">
      <c r="B13" s="2" t="s">
        <v>19</v>
      </c>
      <c r="C13" s="2">
        <v>0</v>
      </c>
      <c r="D13" s="2">
        <v>0</v>
      </c>
      <c r="E13" s="2">
        <v>0</v>
      </c>
      <c r="F13" s="2">
        <v>137761.1</v>
      </c>
      <c r="G13" s="2">
        <v>70948.100000000006</v>
      </c>
      <c r="H13" s="2">
        <v>140692.9</v>
      </c>
      <c r="I13" s="2">
        <v>58480.9</v>
      </c>
      <c r="J13" s="2">
        <v>68588.28</v>
      </c>
      <c r="K13" s="2">
        <v>70329.94</v>
      </c>
      <c r="L13" s="2">
        <v>71006.73</v>
      </c>
      <c r="M13" s="2">
        <v>72417.66</v>
      </c>
      <c r="N13" s="2">
        <v>71498.210000000006</v>
      </c>
      <c r="O13" s="2">
        <f>SUM(C13:N13)</f>
        <v>761723.82</v>
      </c>
    </row>
    <row r="14" spans="2:15" ht="18" customHeight="1" x14ac:dyDescent="0.25">
      <c r="B14" s="3" t="s">
        <v>20</v>
      </c>
      <c r="C14" s="2">
        <v>589263.53</v>
      </c>
      <c r="D14" s="2">
        <v>594960.62</v>
      </c>
      <c r="E14" s="2">
        <v>602245.35</v>
      </c>
      <c r="F14" s="2">
        <v>605517.72</v>
      </c>
      <c r="G14" s="2">
        <v>609584.67000000004</v>
      </c>
      <c r="H14" s="2">
        <v>609096.35</v>
      </c>
      <c r="I14" s="2">
        <v>629979.44999999995</v>
      </c>
      <c r="J14" s="2">
        <v>631618.51</v>
      </c>
      <c r="K14" s="2">
        <v>651646.42000000004</v>
      </c>
      <c r="L14" s="2">
        <v>666531.13</v>
      </c>
      <c r="M14" s="2">
        <v>675076.01</v>
      </c>
      <c r="N14" s="2">
        <v>681107.89</v>
      </c>
      <c r="O14" s="2">
        <f t="shared" si="2"/>
        <v>7546627.6499999985</v>
      </c>
    </row>
    <row r="15" spans="2:15" ht="18" customHeight="1" x14ac:dyDescent="0.25">
      <c r="B15" s="2" t="s">
        <v>32</v>
      </c>
      <c r="C15" s="9">
        <v>479.33</v>
      </c>
      <c r="D15" s="9">
        <v>854.52</v>
      </c>
      <c r="E15" s="9">
        <v>1591.81</v>
      </c>
      <c r="F15" s="9">
        <f>574648.26+487.41</f>
        <v>575135.67000000004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2">
        <f t="shared" si="2"/>
        <v>578061.33000000007</v>
      </c>
    </row>
    <row r="16" spans="2:15" ht="23.1" customHeight="1" x14ac:dyDescent="0.25">
      <c r="B16" s="24" t="s">
        <v>30</v>
      </c>
      <c r="C16" s="25">
        <f t="shared" ref="C16:O16" si="3">C9+C12+C13+C14+C15</f>
        <v>12577565.539999999</v>
      </c>
      <c r="D16" s="25">
        <f t="shared" si="3"/>
        <v>9390534.9699999988</v>
      </c>
      <c r="E16" s="25">
        <f t="shared" si="3"/>
        <v>8779903.0300000012</v>
      </c>
      <c r="F16" s="25">
        <f t="shared" si="3"/>
        <v>14810374.720000001</v>
      </c>
      <c r="G16" s="25">
        <f t="shared" si="3"/>
        <v>11463007.58</v>
      </c>
      <c r="H16" s="25">
        <f t="shared" si="3"/>
        <v>10076232.109999999</v>
      </c>
      <c r="I16" s="25">
        <f t="shared" si="3"/>
        <v>15346791.529999999</v>
      </c>
      <c r="J16" s="25">
        <f t="shared" si="3"/>
        <v>10854668.629999999</v>
      </c>
      <c r="K16" s="25">
        <f t="shared" si="3"/>
        <v>11262643.73</v>
      </c>
      <c r="L16" s="25">
        <f t="shared" si="3"/>
        <v>17003826.919999998</v>
      </c>
      <c r="M16" s="25">
        <f t="shared" si="3"/>
        <v>12635286.939999999</v>
      </c>
      <c r="N16" s="25">
        <f t="shared" si="3"/>
        <v>12367484.080000002</v>
      </c>
      <c r="O16" s="25">
        <f t="shared" si="3"/>
        <v>146568319.78000003</v>
      </c>
    </row>
    <row r="17" spans="3:12" ht="23.1" customHeight="1" x14ac:dyDescent="0.25">
      <c r="F17" s="11"/>
      <c r="I17" s="5"/>
      <c r="L17" s="5"/>
    </row>
    <row r="18" spans="3:12" ht="23.1" customHeight="1" x14ac:dyDescent="0.25">
      <c r="I18" s="5"/>
      <c r="L18" s="13">
        <f>AVERAGE(Tabela319[[#Totals],[JAN]:[OUT]])</f>
        <v>12156554.875999998</v>
      </c>
    </row>
    <row r="19" spans="3:12" ht="23.1" customHeight="1" x14ac:dyDescent="0.25">
      <c r="C19" s="13"/>
      <c r="D19" s="13"/>
      <c r="L19" s="13">
        <f>L18*2</f>
        <v>24313109.751999997</v>
      </c>
    </row>
    <row r="20" spans="3:12" ht="23.1" customHeight="1" x14ac:dyDescent="0.25">
      <c r="C20" s="18">
        <f>C21/12</f>
        <v>23955666.666666668</v>
      </c>
      <c r="L20" s="13">
        <f>L19+Tabela319[[#Totals],[TOTAL]]</f>
        <v>170881429.53200004</v>
      </c>
    </row>
    <row r="21" spans="3:12" ht="23.1" customHeight="1" x14ac:dyDescent="0.25">
      <c r="C21" s="19">
        <v>287468000</v>
      </c>
    </row>
    <row r="22" spans="3:12" ht="23.1" customHeight="1" x14ac:dyDescent="0.25">
      <c r="C22" s="19"/>
      <c r="K22" s="11"/>
    </row>
    <row r="23" spans="3:12" ht="23.1" customHeight="1" x14ac:dyDescent="0.25">
      <c r="C23" s="19">
        <f>Tabela319[[#Totals],[JAN]]*12</f>
        <v>150930786.47999999</v>
      </c>
      <c r="K23" s="11"/>
    </row>
    <row r="24" spans="3:12" ht="23.1" customHeight="1" x14ac:dyDescent="0.25">
      <c r="C24" s="19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9:E9 H9:O9" formulaRange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"/>
  <sheetViews>
    <sheetView showGridLines="0" zoomScaleNormal="100" workbookViewId="0">
      <pane xSplit="2" ySplit="8" topLeftCell="C9" activePane="bottomRight" state="frozen"/>
      <selection activeCell="B2" sqref="B2"/>
      <selection pane="topRight" activeCell="B2" sqref="B2"/>
      <selection pane="bottomLeft" activeCell="B2" sqref="B2"/>
      <selection pane="bottomRight" activeCell="O6" sqref="O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36</v>
      </c>
    </row>
    <row r="2" spans="2:15" ht="23.1" customHeight="1" x14ac:dyDescent="0.25">
      <c r="B2" s="7" t="s">
        <v>24</v>
      </c>
    </row>
    <row r="3" spans="2:15" ht="23.1" customHeight="1" x14ac:dyDescent="0.25">
      <c r="B3" s="7" t="s">
        <v>34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35</v>
      </c>
      <c r="C5" s="28">
        <f>$O$5/12</f>
        <v>59583.333333333336</v>
      </c>
      <c r="D5" s="28">
        <f t="shared" ref="D5:N5" si="0">$O$5/12</f>
        <v>59583.333333333336</v>
      </c>
      <c r="E5" s="28">
        <f t="shared" si="0"/>
        <v>59583.333333333336</v>
      </c>
      <c r="F5" s="28">
        <f t="shared" si="0"/>
        <v>59583.333333333336</v>
      </c>
      <c r="G5" s="28">
        <f t="shared" si="0"/>
        <v>59583.333333333336</v>
      </c>
      <c r="H5" s="28">
        <f t="shared" si="0"/>
        <v>59583.333333333336</v>
      </c>
      <c r="I5" s="28">
        <f t="shared" si="0"/>
        <v>59583.333333333336</v>
      </c>
      <c r="J5" s="28">
        <f t="shared" si="0"/>
        <v>59583.333333333336</v>
      </c>
      <c r="K5" s="28">
        <f t="shared" si="0"/>
        <v>59583.333333333336</v>
      </c>
      <c r="L5" s="28">
        <f t="shared" si="0"/>
        <v>59583.333333333336</v>
      </c>
      <c r="M5" s="28">
        <f t="shared" si="0"/>
        <v>59583.333333333336</v>
      </c>
      <c r="N5" s="28">
        <f t="shared" si="0"/>
        <v>59583.333333333336</v>
      </c>
      <c r="O5" s="29">
        <v>715000</v>
      </c>
    </row>
    <row r="6" spans="2:15" ht="11.2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11.25" customHeight="1" x14ac:dyDescent="0.25">
      <c r="B7" s="7" t="s">
        <v>33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25</v>
      </c>
      <c r="C9" s="2">
        <f t="shared" ref="C9:N9" si="1">C10</f>
        <v>59583</v>
      </c>
      <c r="D9" s="2">
        <f t="shared" si="1"/>
        <v>59583</v>
      </c>
      <c r="E9" s="2">
        <f t="shared" si="1"/>
        <v>59583</v>
      </c>
      <c r="F9" s="2">
        <f t="shared" si="1"/>
        <v>59583</v>
      </c>
      <c r="G9" s="2">
        <f t="shared" si="1"/>
        <v>59583</v>
      </c>
      <c r="H9" s="2">
        <f t="shared" si="1"/>
        <v>59583</v>
      </c>
      <c r="I9" s="2">
        <f t="shared" si="1"/>
        <v>59583</v>
      </c>
      <c r="J9" s="2">
        <f t="shared" si="1"/>
        <v>59583</v>
      </c>
      <c r="K9" s="2">
        <f>K10</f>
        <v>59583</v>
      </c>
      <c r="L9" s="2">
        <f t="shared" si="1"/>
        <v>59583</v>
      </c>
      <c r="M9" s="2">
        <f t="shared" si="1"/>
        <v>59583</v>
      </c>
      <c r="N9" s="2">
        <f t="shared" si="1"/>
        <v>59583</v>
      </c>
      <c r="O9" s="2">
        <f>SUM(C9:N9)</f>
        <v>714996</v>
      </c>
    </row>
    <row r="10" spans="2:15" s="8" customFormat="1" ht="18" customHeight="1" x14ac:dyDescent="0.25">
      <c r="B10" s="6" t="s">
        <v>26</v>
      </c>
      <c r="C10" s="8">
        <v>59583</v>
      </c>
      <c r="D10" s="8">
        <v>59583</v>
      </c>
      <c r="E10" s="8">
        <v>59583</v>
      </c>
      <c r="F10" s="8">
        <v>59583</v>
      </c>
      <c r="G10" s="8">
        <v>59583</v>
      </c>
      <c r="H10" s="8">
        <v>59583</v>
      </c>
      <c r="I10" s="8">
        <v>59583</v>
      </c>
      <c r="J10" s="8">
        <v>59583</v>
      </c>
      <c r="K10" s="8">
        <v>59583</v>
      </c>
      <c r="L10" s="8">
        <v>59583</v>
      </c>
      <c r="M10" s="8">
        <v>59583</v>
      </c>
      <c r="N10" s="8">
        <v>59583</v>
      </c>
      <c r="O10" s="2">
        <f>SUM(C10:N10)</f>
        <v>714996</v>
      </c>
    </row>
    <row r="11" spans="2:15" ht="18" customHeight="1" x14ac:dyDescent="0.25">
      <c r="B11" s="2" t="s">
        <v>3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2128.16</v>
      </c>
      <c r="J11" s="2">
        <v>1971.46</v>
      </c>
      <c r="K11" s="2">
        <v>1743.61</v>
      </c>
      <c r="L11" s="2">
        <v>1672.22</v>
      </c>
      <c r="M11" s="2">
        <v>1328.39</v>
      </c>
      <c r="N11" s="2">
        <v>1371.96</v>
      </c>
      <c r="O11" s="2">
        <f>SUM(C11:N11)</f>
        <v>10215.799999999999</v>
      </c>
    </row>
    <row r="12" spans="2:15" ht="23.1" customHeight="1" x14ac:dyDescent="0.25">
      <c r="B12" s="24" t="s">
        <v>30</v>
      </c>
      <c r="C12" s="25">
        <f t="shared" ref="C12:O12" si="2">C9+C11</f>
        <v>59583</v>
      </c>
      <c r="D12" s="25">
        <f t="shared" si="2"/>
        <v>59583</v>
      </c>
      <c r="E12" s="25">
        <f t="shared" si="2"/>
        <v>59583</v>
      </c>
      <c r="F12" s="25">
        <f t="shared" si="2"/>
        <v>59583</v>
      </c>
      <c r="G12" s="25">
        <f t="shared" si="2"/>
        <v>59583</v>
      </c>
      <c r="H12" s="25">
        <f t="shared" si="2"/>
        <v>59583</v>
      </c>
      <c r="I12" s="25">
        <f t="shared" si="2"/>
        <v>61711.16</v>
      </c>
      <c r="J12" s="25">
        <f t="shared" si="2"/>
        <v>61554.46</v>
      </c>
      <c r="K12" s="25">
        <f t="shared" si="2"/>
        <v>61326.61</v>
      </c>
      <c r="L12" s="25">
        <f t="shared" si="2"/>
        <v>61255.22</v>
      </c>
      <c r="M12" s="25">
        <f t="shared" si="2"/>
        <v>60911.39</v>
      </c>
      <c r="N12" s="25">
        <f t="shared" si="2"/>
        <v>60954.96</v>
      </c>
      <c r="O12" s="25">
        <f t="shared" si="2"/>
        <v>725211.8</v>
      </c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9:J9 L9:N9" calculatedColumn="1"/>
  </ignoredError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showGridLines="0" topLeftCell="B1" zoomScaleNormal="100" workbookViewId="0">
      <pane xSplit="1" ySplit="8" topLeftCell="C9" activePane="bottomRight" state="frozen"/>
      <selection activeCell="B2" sqref="B2"/>
      <selection pane="topRight" activeCell="B2" sqref="B2"/>
      <selection pane="bottomLeft" activeCell="B2" sqref="B2"/>
      <selection pane="bottomRight" activeCell="O6" sqref="O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36</v>
      </c>
    </row>
    <row r="2" spans="2:15" ht="23.1" customHeight="1" x14ac:dyDescent="0.25">
      <c r="B2" s="7" t="s">
        <v>22</v>
      </c>
    </row>
    <row r="3" spans="2:15" ht="23.1" customHeight="1" x14ac:dyDescent="0.25">
      <c r="B3" s="7" t="s">
        <v>34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35</v>
      </c>
      <c r="C5" s="28">
        <f>$O$5/12</f>
        <v>612500</v>
      </c>
      <c r="D5" s="28">
        <f t="shared" ref="D5:N5" si="0">$O$5/12</f>
        <v>612500</v>
      </c>
      <c r="E5" s="28">
        <f t="shared" si="0"/>
        <v>612500</v>
      </c>
      <c r="F5" s="28">
        <f t="shared" si="0"/>
        <v>612500</v>
      </c>
      <c r="G5" s="28">
        <f t="shared" si="0"/>
        <v>612500</v>
      </c>
      <c r="H5" s="28">
        <f t="shared" si="0"/>
        <v>612500</v>
      </c>
      <c r="I5" s="28">
        <f t="shared" si="0"/>
        <v>612500</v>
      </c>
      <c r="J5" s="28">
        <f t="shared" si="0"/>
        <v>612500</v>
      </c>
      <c r="K5" s="28">
        <f t="shared" si="0"/>
        <v>612500</v>
      </c>
      <c r="L5" s="28">
        <f t="shared" si="0"/>
        <v>612500</v>
      </c>
      <c r="M5" s="28">
        <f t="shared" si="0"/>
        <v>612500</v>
      </c>
      <c r="N5" s="28">
        <f t="shared" si="0"/>
        <v>612500</v>
      </c>
      <c r="O5" s="29">
        <v>7350000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33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f t="shared" ref="C9:N9" si="1">SUM(C10:C10)</f>
        <v>699527.16</v>
      </c>
      <c r="D9" s="2">
        <f t="shared" si="1"/>
        <v>619995.01</v>
      </c>
      <c r="E9" s="2">
        <f t="shared" si="1"/>
        <v>531938.84</v>
      </c>
      <c r="F9" s="2">
        <f t="shared" si="1"/>
        <v>565719.02</v>
      </c>
      <c r="G9" s="2">
        <f t="shared" si="1"/>
        <v>788771.8</v>
      </c>
      <c r="H9" s="2">
        <f t="shared" si="1"/>
        <v>620122.11</v>
      </c>
      <c r="I9" s="2">
        <f t="shared" si="1"/>
        <v>869429.27</v>
      </c>
      <c r="J9" s="2">
        <f t="shared" si="1"/>
        <v>701394.91</v>
      </c>
      <c r="K9" s="2">
        <f t="shared" si="1"/>
        <v>698662.14</v>
      </c>
      <c r="L9" s="2">
        <f t="shared" si="1"/>
        <v>858975.25</v>
      </c>
      <c r="M9" s="2">
        <f t="shared" si="1"/>
        <v>703466.3</v>
      </c>
      <c r="N9" s="2">
        <f t="shared" si="1"/>
        <v>746235.34</v>
      </c>
      <c r="O9" s="2">
        <f>SUM(C9:N9)</f>
        <v>8404237.1500000004</v>
      </c>
    </row>
    <row r="10" spans="2:15" s="8" customFormat="1" ht="18" customHeight="1" x14ac:dyDescent="0.25">
      <c r="B10" s="6" t="s">
        <v>21</v>
      </c>
      <c r="C10" s="2">
        <v>699527.16</v>
      </c>
      <c r="D10" s="2">
        <v>619995.01</v>
      </c>
      <c r="E10" s="2">
        <v>531938.84</v>
      </c>
      <c r="F10" s="2">
        <v>565719.02</v>
      </c>
      <c r="G10" s="8">
        <v>788771.8</v>
      </c>
      <c r="H10" s="8">
        <v>620122.11</v>
      </c>
      <c r="I10" s="8">
        <v>869429.27</v>
      </c>
      <c r="J10" s="8">
        <v>701394.91</v>
      </c>
      <c r="K10" s="8">
        <v>698662.14</v>
      </c>
      <c r="L10" s="8">
        <v>858975.25</v>
      </c>
      <c r="M10" s="8">
        <v>703466.3</v>
      </c>
      <c r="N10" s="8">
        <v>746235.34</v>
      </c>
      <c r="O10" s="8">
        <f>SUM(C10:N10)</f>
        <v>8404237.1500000004</v>
      </c>
    </row>
    <row r="11" spans="2:15" ht="18" customHeight="1" x14ac:dyDescent="0.25">
      <c r="B11" s="2" t="s">
        <v>3</v>
      </c>
      <c r="C11" s="2">
        <v>11240.35</v>
      </c>
      <c r="D11" s="2">
        <v>11358.49</v>
      </c>
      <c r="E11" s="2">
        <v>11066.42</v>
      </c>
      <c r="F11" s="2">
        <v>12924.37</v>
      </c>
      <c r="G11" s="2">
        <v>13963.65</v>
      </c>
      <c r="H11" s="2">
        <v>12977.35</v>
      </c>
      <c r="I11" s="2">
        <v>16821.330000000002</v>
      </c>
      <c r="J11" s="2">
        <v>13521.08</v>
      </c>
      <c r="K11" s="2">
        <v>13486.01</v>
      </c>
      <c r="L11" s="2">
        <v>20776.310000000001</v>
      </c>
      <c r="M11" s="2">
        <v>34944.67</v>
      </c>
      <c r="N11" s="2">
        <v>37242.43</v>
      </c>
      <c r="O11" s="2">
        <f>SUM(C11:N11)</f>
        <v>210322.46000000002</v>
      </c>
    </row>
    <row r="12" spans="2:15" ht="18" customHeight="1" x14ac:dyDescent="0.25">
      <c r="B12" s="24" t="s">
        <v>30</v>
      </c>
      <c r="C12" s="25">
        <f>C9+C11</f>
        <v>710767.51</v>
      </c>
      <c r="D12" s="25">
        <f t="shared" ref="D12:O12" si="2">D9+D11</f>
        <v>631353.5</v>
      </c>
      <c r="E12" s="25">
        <f t="shared" si="2"/>
        <v>543005.26</v>
      </c>
      <c r="F12" s="25">
        <f t="shared" si="2"/>
        <v>578643.39</v>
      </c>
      <c r="G12" s="25">
        <f>G9+G11</f>
        <v>802735.45000000007</v>
      </c>
      <c r="H12" s="25">
        <f t="shared" si="2"/>
        <v>633099.46</v>
      </c>
      <c r="I12" s="25">
        <f t="shared" si="2"/>
        <v>886250.6</v>
      </c>
      <c r="J12" s="25">
        <f t="shared" si="2"/>
        <v>714915.99</v>
      </c>
      <c r="K12" s="25">
        <f t="shared" si="2"/>
        <v>712148.15</v>
      </c>
      <c r="L12" s="25">
        <f t="shared" si="2"/>
        <v>879751.56</v>
      </c>
      <c r="M12" s="25">
        <f t="shared" si="2"/>
        <v>738410.97000000009</v>
      </c>
      <c r="N12" s="25">
        <f t="shared" si="2"/>
        <v>783477.77</v>
      </c>
      <c r="O12" s="25">
        <f t="shared" si="2"/>
        <v>8614559.6100000013</v>
      </c>
    </row>
    <row r="13" spans="2:15" ht="23.1" customHeigh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</row>
    <row r="15" spans="2:15" ht="23.1" customHeight="1" x14ac:dyDescent="0.25">
      <c r="C15" s="13">
        <f>AVERAGE(Tabela3520[[#Totals],[JAN]:[ABR]])</f>
        <v>615942.41500000004</v>
      </c>
    </row>
    <row r="16" spans="2:15" ht="23.1" customHeight="1" x14ac:dyDescent="0.25">
      <c r="C16" s="13">
        <f>C17/12</f>
        <v>1419166.6666666667</v>
      </c>
    </row>
    <row r="17" spans="3:11" ht="23.1" customHeight="1" x14ac:dyDescent="0.25">
      <c r="C17" s="13">
        <v>17030000</v>
      </c>
    </row>
    <row r="18" spans="3:11" ht="23.1" customHeight="1" x14ac:dyDescent="0.25">
      <c r="C18" s="13"/>
    </row>
    <row r="20" spans="3:11" ht="23.1" customHeight="1" x14ac:dyDescent="0.25">
      <c r="K20" s="11"/>
    </row>
    <row r="21" spans="3:11" ht="23.1" customHeight="1" x14ac:dyDescent="0.25">
      <c r="K21" s="11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showGridLines="0" topLeftCell="B1" zoomScaleNormal="100" workbookViewId="0">
      <pane xSplit="1" ySplit="8" topLeftCell="C9" activePane="bottomRight" state="frozen"/>
      <selection activeCell="B2" sqref="B2"/>
      <selection pane="topRight" activeCell="B2" sqref="B2"/>
      <selection pane="bottomLeft" activeCell="B2" sqref="B2"/>
      <selection pane="bottomRight" activeCell="O6" sqref="O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36</v>
      </c>
    </row>
    <row r="2" spans="2:15" ht="23.1" customHeight="1" x14ac:dyDescent="0.25">
      <c r="B2" s="7" t="s">
        <v>23</v>
      </c>
    </row>
    <row r="3" spans="2:15" ht="23.1" customHeight="1" x14ac:dyDescent="0.25">
      <c r="B3" s="7" t="s">
        <v>34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35</v>
      </c>
      <c r="C5" s="28">
        <f>$O$5/12</f>
        <v>300833.33333333331</v>
      </c>
      <c r="D5" s="28">
        <f t="shared" ref="D5:N5" si="0">$O$5/12</f>
        <v>300833.33333333331</v>
      </c>
      <c r="E5" s="28">
        <f t="shared" si="0"/>
        <v>300833.33333333331</v>
      </c>
      <c r="F5" s="28">
        <f t="shared" si="0"/>
        <v>300833.33333333331</v>
      </c>
      <c r="G5" s="28">
        <f t="shared" si="0"/>
        <v>300833.33333333331</v>
      </c>
      <c r="H5" s="28">
        <f t="shared" si="0"/>
        <v>300833.33333333331</v>
      </c>
      <c r="I5" s="28">
        <f t="shared" si="0"/>
        <v>300833.33333333331</v>
      </c>
      <c r="J5" s="28">
        <f t="shared" si="0"/>
        <v>300833.33333333331</v>
      </c>
      <c r="K5" s="28">
        <f t="shared" si="0"/>
        <v>300833.33333333331</v>
      </c>
      <c r="L5" s="28">
        <f t="shared" si="0"/>
        <v>300833.33333333331</v>
      </c>
      <c r="M5" s="28">
        <f t="shared" si="0"/>
        <v>300833.33333333331</v>
      </c>
      <c r="N5" s="28">
        <f t="shared" si="0"/>
        <v>300833.33333333331</v>
      </c>
      <c r="O5" s="29">
        <v>3610000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33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v>352017.63</v>
      </c>
      <c r="D9" s="2">
        <v>256354.67</v>
      </c>
      <c r="E9" s="2">
        <v>238771.08</v>
      </c>
      <c r="F9" s="2">
        <v>397494.74</v>
      </c>
      <c r="G9" s="2">
        <v>316340.78999999998</v>
      </c>
      <c r="H9" s="2">
        <v>273888</v>
      </c>
      <c r="I9" s="2">
        <v>273888</v>
      </c>
      <c r="J9" s="2">
        <v>296038.43</v>
      </c>
      <c r="K9" s="2">
        <v>296038.43</v>
      </c>
      <c r="L9" s="2">
        <v>479353.61</v>
      </c>
      <c r="M9" s="2">
        <v>347846.06</v>
      </c>
      <c r="N9" s="2">
        <v>339884.84</v>
      </c>
      <c r="O9" s="2">
        <f>SUM(C9:N9)</f>
        <v>3867916.2800000003</v>
      </c>
    </row>
    <row r="10" spans="2:15" ht="18" customHeight="1" x14ac:dyDescent="0.25">
      <c r="B10" s="2" t="s">
        <v>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21254.34</v>
      </c>
      <c r="J10" s="2">
        <v>20311.13</v>
      </c>
      <c r="K10" s="2">
        <v>19719.14</v>
      </c>
      <c r="L10" s="2">
        <v>22073.08</v>
      </c>
      <c r="M10" s="2">
        <v>20390.04</v>
      </c>
      <c r="N10" s="2">
        <v>21196.2</v>
      </c>
      <c r="O10" s="2">
        <f>SUM(C10:N10)</f>
        <v>124943.93000000001</v>
      </c>
    </row>
    <row r="11" spans="2:15" ht="18" customHeight="1" x14ac:dyDescent="0.25">
      <c r="B11" s="24" t="s">
        <v>30</v>
      </c>
      <c r="C11" s="25">
        <f t="shared" ref="C11:O11" si="1">C9+C10</f>
        <v>352017.63</v>
      </c>
      <c r="D11" s="25">
        <f t="shared" si="1"/>
        <v>256354.67</v>
      </c>
      <c r="E11" s="25">
        <f t="shared" si="1"/>
        <v>238771.08</v>
      </c>
      <c r="F11" s="25">
        <f t="shared" si="1"/>
        <v>397494.74</v>
      </c>
      <c r="G11" s="25">
        <f>G9+G10</f>
        <v>316340.78999999998</v>
      </c>
      <c r="H11" s="25">
        <f t="shared" si="1"/>
        <v>273888</v>
      </c>
      <c r="I11" s="25">
        <f t="shared" si="1"/>
        <v>295142.34000000003</v>
      </c>
      <c r="J11" s="25">
        <f t="shared" si="1"/>
        <v>316349.56</v>
      </c>
      <c r="K11" s="25">
        <f t="shared" si="1"/>
        <v>315757.57</v>
      </c>
      <c r="L11" s="25">
        <f t="shared" si="1"/>
        <v>501426.69</v>
      </c>
      <c r="M11" s="25">
        <f t="shared" si="1"/>
        <v>368236.1</v>
      </c>
      <c r="N11" s="25">
        <f t="shared" si="1"/>
        <v>361081.04000000004</v>
      </c>
      <c r="O11" s="25">
        <f t="shared" si="1"/>
        <v>3992860.2100000004</v>
      </c>
    </row>
    <row r="12" spans="2:15" ht="23.1" customHeigh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</row>
    <row r="14" spans="2:15" ht="23.1" customHeight="1" x14ac:dyDescent="0.25">
      <c r="C14" s="13">
        <f>AVERAGE(Tabela3567821[[#Totals],[JAN]:[ABR]])</f>
        <v>311159.53000000003</v>
      </c>
    </row>
    <row r="15" spans="2:15" ht="23.1" customHeight="1" x14ac:dyDescent="0.25">
      <c r="C15" s="13">
        <f>C16/12</f>
        <v>718666.66666666663</v>
      </c>
    </row>
    <row r="16" spans="2:15" ht="23.1" customHeight="1" x14ac:dyDescent="0.25">
      <c r="C16" s="13">
        <v>8624000</v>
      </c>
    </row>
    <row r="17" spans="3:11" ht="23.1" customHeight="1" x14ac:dyDescent="0.25">
      <c r="C17" s="13"/>
    </row>
    <row r="20" spans="3:11" ht="23.1" customHeight="1" x14ac:dyDescent="0.25">
      <c r="K20" s="11"/>
    </row>
    <row r="21" spans="3:11" ht="23.1" customHeight="1" x14ac:dyDescent="0.25">
      <c r="K21" s="11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TJ 19</vt:lpstr>
      <vt:lpstr>FERJ 19</vt:lpstr>
      <vt:lpstr>FESMAM 19</vt:lpstr>
      <vt:lpstr>FERC 19</vt:lpstr>
      <vt:lpstr>FUNSEG 19</vt:lpstr>
      <vt:lpstr>'FERC 19'!Área_de_Impressão</vt:lpstr>
      <vt:lpstr>'FERJ 19'!Área_de_Impressão</vt:lpstr>
      <vt:lpstr>'FESMAM 19'!Área_de_Impressão</vt:lpstr>
      <vt:lpstr>'FUNSEG 19'!Área_de_Impressão</vt:lpstr>
      <vt:lpstr>'TJ 19'!Área_de_Impressão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Jorge de Oliveira Borges</dc:creator>
  <cp:lastModifiedBy>Cristiano de Jesus Sousa de Abreu</cp:lastModifiedBy>
  <cp:lastPrinted>2023-12-12T12:29:23Z</cp:lastPrinted>
  <dcterms:created xsi:type="dcterms:W3CDTF">2017-09-20T11:11:33Z</dcterms:created>
  <dcterms:modified xsi:type="dcterms:W3CDTF">2024-05-13T13:44:03Z</dcterms:modified>
</cp:coreProperties>
</file>